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5 Bildung, Wissenschaft\Strukturerhebung\2024\"/>
    </mc:Choice>
  </mc:AlternateContent>
  <xr:revisionPtr revIDLastSave="0" documentId="13_ncr:1_{548D885F-20B8-4048-A578-A91DE4A2FE0C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Schweiz" sheetId="8" r:id="rId1"/>
    <sheet name="Graubünden" sheetId="26" r:id="rId2"/>
    <sheet name="Uebersetzungen" sheetId="27" state="hidden" r:id="rId3"/>
  </sheets>
  <definedNames>
    <definedName name="_xlnm.Print_Area" localSheetId="0">Schweiz!$A$9:$N$48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8" l="1"/>
  <c r="A45" i="8"/>
  <c r="A52" i="26" l="1"/>
  <c r="A49" i="8"/>
  <c r="B44" i="26" l="1"/>
  <c r="B43" i="26"/>
  <c r="B42" i="26"/>
  <c r="B41" i="26"/>
  <c r="B40" i="26"/>
  <c r="B39" i="26"/>
  <c r="B38" i="26"/>
  <c r="B37" i="26"/>
  <c r="B36" i="26"/>
  <c r="B35" i="26"/>
  <c r="B34" i="26"/>
  <c r="A34" i="26"/>
  <c r="B33" i="26"/>
  <c r="B32" i="26"/>
  <c r="B31" i="26"/>
  <c r="A31" i="26"/>
  <c r="B30" i="26"/>
  <c r="B29" i="26"/>
  <c r="B28" i="26"/>
  <c r="B27" i="26"/>
  <c r="B26" i="26"/>
  <c r="A26" i="26"/>
  <c r="B25" i="26"/>
  <c r="B24" i="26"/>
  <c r="B23" i="26"/>
  <c r="B22" i="26"/>
  <c r="B21" i="26"/>
  <c r="A21" i="26"/>
  <c r="B20" i="26"/>
  <c r="B19" i="26"/>
  <c r="B18" i="26"/>
  <c r="A18" i="26"/>
  <c r="B17" i="26"/>
  <c r="B16" i="26"/>
  <c r="A16" i="26"/>
  <c r="A15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M13" i="26"/>
  <c r="K13" i="26"/>
  <c r="I13" i="26"/>
  <c r="G13" i="26"/>
  <c r="E13" i="26"/>
  <c r="C13" i="26"/>
  <c r="A10" i="26"/>
  <c r="A9" i="26"/>
  <c r="A7" i="26"/>
  <c r="A48" i="8"/>
  <c r="A44" i="8"/>
  <c r="A43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A16" i="8"/>
  <c r="A15" i="8"/>
  <c r="N14" i="8"/>
  <c r="M14" i="8"/>
  <c r="L14" i="8"/>
  <c r="K14" i="8"/>
  <c r="J14" i="8"/>
  <c r="I14" i="8"/>
  <c r="H14" i="8"/>
  <c r="G14" i="8"/>
  <c r="F14" i="8"/>
  <c r="E14" i="8"/>
  <c r="D14" i="8"/>
  <c r="C14" i="8"/>
  <c r="M13" i="8"/>
  <c r="K13" i="8"/>
  <c r="I13" i="8"/>
  <c r="G13" i="8"/>
  <c r="E13" i="8"/>
  <c r="C13" i="8"/>
  <c r="A10" i="8"/>
  <c r="A9" i="8"/>
  <c r="A7" i="8"/>
</calcChain>
</file>

<file path=xl/sharedStrings.xml><?xml version="1.0" encoding="utf-8"?>
<sst xmlns="http://schemas.openxmlformats.org/spreadsheetml/2006/main" count="406" uniqueCount="314">
  <si>
    <t>Total</t>
  </si>
  <si>
    <t>Ohne nachobligatorische Ausbildung</t>
  </si>
  <si>
    <t>Sekundarstufe II: Berufsbildung</t>
  </si>
  <si>
    <t>Sekundarstufe II: Allgemeinbildung</t>
  </si>
  <si>
    <t>Tertiärstufe: höhere Berufsbildung</t>
  </si>
  <si>
    <t>Tertiärstufe: Hochschulen</t>
  </si>
  <si>
    <t>Anzahl Personen</t>
  </si>
  <si>
    <t>Kanton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</si>
  <si>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</si>
  <si>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</si>
  <si>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</si>
  <si>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</si>
  <si>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</si>
  <si>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</si>
  <si>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</si>
  <si>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</si>
  <si>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</si>
  <si>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</si>
  <si>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</si>
  <si>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</si>
  <si>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</si>
  <si>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</si>
  <si>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</si>
  <si>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</si>
  <si>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</si>
  <si>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Ticino</t>
  </si>
  <si>
    <t>Vaud</t>
  </si>
  <si>
    <t>Neuchâtel</t>
  </si>
  <si>
    <t>Genève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</si>
  <si>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</si>
  <si>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</si>
  <si>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</si>
  <si>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</si>
  <si>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</si>
  <si>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</si>
  <si>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</si>
  <si>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</si>
  <si>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</si>
  <si>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25-44</t>
  </si>
  <si>
    <t>45-64</t>
  </si>
  <si>
    <t>65 und mehr</t>
  </si>
  <si>
    <t>Staatsangehörigkeit</t>
  </si>
  <si>
    <t>Schweiz</t>
  </si>
  <si>
    <t>Staatsangehörigkeit unbekannt</t>
  </si>
  <si>
    <t>Migrationsstatus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</si>
  <si>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</si>
  <si>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</si>
  <si>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</si>
  <si>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</si>
  <si>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</si>
  <si>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</si>
  <si>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</si>
  <si>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</si>
  <si>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</si>
  <si>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</si>
  <si>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</si>
  <si>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</si>
  <si>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</si>
  <si>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</si>
  <si>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</si>
  <si>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</si>
  <si>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Lernende in dualer beruflicher Grundbildung (Lehrlinge)</t>
  </si>
  <si>
    <t>Erwerbslose und Nichterwerbspersonen</t>
  </si>
  <si>
    <t>Arbeitsmarktstatus</t>
  </si>
  <si>
    <t>Graubünden</t>
  </si>
  <si>
    <t>Bern</t>
  </si>
  <si>
    <t>Freiburg</t>
  </si>
  <si>
    <t>Wallis</t>
  </si>
  <si>
    <t>Quelle: BFS (Strukturerhebung)</t>
  </si>
  <si>
    <t>Aussereuropäischer Staat</t>
  </si>
  <si>
    <t>Ungelernte Angestellte und Arbeiter/innen</t>
  </si>
  <si>
    <t>Nicht zuteilbare Erwerbstätige (fehlende oder unklare Basisdaten)</t>
  </si>
  <si>
    <t>Ständige Wohnbevölkerung ab 25 Jahren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</si>
  <si>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</si>
  <si>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</si>
  <si>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</si>
  <si>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</si>
  <si>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</si>
  <si>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</si>
  <si>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</si>
  <si>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</si>
  <si>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</si>
  <si>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</si>
  <si>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T1-2</t>
  </si>
  <si>
    <t>&lt;Titel&gt;</t>
  </si>
  <si>
    <t>&lt;UTitel&gt;</t>
  </si>
  <si>
    <t>&lt;SpaltenTitel_1&gt;</t>
  </si>
  <si>
    <t>Totale</t>
  </si>
  <si>
    <t>&lt;SpaltenTitel_2&gt;</t>
  </si>
  <si>
    <t>&lt;SpaltenTitel_3&gt;</t>
  </si>
  <si>
    <t>Persunas cun activitad da gudogn</t>
  </si>
  <si>
    <t>Occupati</t>
  </si>
  <si>
    <t>&lt;SpaltenTitel_4&gt;</t>
  </si>
  <si>
    <t>&lt;SpaltenTitel_5&gt;</t>
  </si>
  <si>
    <t>&lt;SpaltenTitel_6&gt;</t>
  </si>
  <si>
    <t>Persunas senza activitad da gudogn</t>
  </si>
  <si>
    <t>Disoccupati</t>
  </si>
  <si>
    <t>Persone senza attività professionale</t>
  </si>
  <si>
    <t>&lt;SpaltenTitel_1.1&gt;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</si>
  <si>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</si>
  <si>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</si>
  <si>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</si>
  <si>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</si>
  <si>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</si>
  <si>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</si>
  <si>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T1</t>
  </si>
  <si>
    <t>&lt;Zeilentitel_1&gt;</t>
  </si>
  <si>
    <t>&lt;Zeilentitel_2&gt;</t>
  </si>
  <si>
    <t>Chantun</t>
  </si>
  <si>
    <t>Cantone</t>
  </si>
  <si>
    <t>&lt;Zeilentitel_2.1&gt;</t>
  </si>
  <si>
    <t>Turitg</t>
  </si>
  <si>
    <t>Zurigo</t>
  </si>
  <si>
    <t>&lt;Zeilentitel_2.2&gt;</t>
  </si>
  <si>
    <t>Berna</t>
  </si>
  <si>
    <t>&lt;Zeilentitel_2.3&gt;</t>
  </si>
  <si>
    <t>Lucerna</t>
  </si>
  <si>
    <t>&lt;Zeilentitel_2.4&gt;</t>
  </si>
  <si>
    <t>&lt;Zeilentitel_2.5&gt;</t>
  </si>
  <si>
    <t>Sviz</t>
  </si>
  <si>
    <t>Svitto</t>
  </si>
  <si>
    <t>&lt;Zeilentitel_2.6&gt;</t>
  </si>
  <si>
    <t>Sursilvania</t>
  </si>
  <si>
    <t>Obvaldo</t>
  </si>
  <si>
    <t>&lt;Zeilentitel_2.7&gt;</t>
  </si>
  <si>
    <t>Sutsilvania</t>
  </si>
  <si>
    <t>Nidvaldo</t>
  </si>
  <si>
    <t>&lt;Zeilentitel_2.8&gt;</t>
  </si>
  <si>
    <t>Glaruna</t>
  </si>
  <si>
    <t>Glarona</t>
  </si>
  <si>
    <t>&lt;Zeilentitel_2.9&gt;</t>
  </si>
  <si>
    <t>Zugo</t>
  </si>
  <si>
    <t>&lt;Zeilentitel_2.10&gt;</t>
  </si>
  <si>
    <t>Friburg</t>
  </si>
  <si>
    <t>Friborgo</t>
  </si>
  <si>
    <t>&lt;Zeilentitel_2.11&gt;</t>
  </si>
  <si>
    <t>Soloturn</t>
  </si>
  <si>
    <t>Soletta</t>
  </si>
  <si>
    <t>&lt;Zeilentitel_2.12&gt;</t>
  </si>
  <si>
    <t>Basilea-Citad</t>
  </si>
  <si>
    <t>Basilea Città</t>
  </si>
  <si>
    <t>&lt;Zeilentitel_2.13&gt;</t>
  </si>
  <si>
    <t>Basilea-Champagna</t>
  </si>
  <si>
    <t>Basilea Campagna</t>
  </si>
  <si>
    <t>&lt;Zeilentitel_2.14&gt;</t>
  </si>
  <si>
    <t>Schaffusa</t>
  </si>
  <si>
    <t>Sciaffusa</t>
  </si>
  <si>
    <t>&lt;Zeilentitel_2.15&gt;</t>
  </si>
  <si>
    <t>Appenzell Dadora</t>
  </si>
  <si>
    <t>Appenzello Esterno</t>
  </si>
  <si>
    <t>&lt;Zeilentitel_2.16&gt;</t>
  </si>
  <si>
    <t>Appenzell Dadens</t>
  </si>
  <si>
    <t>Appenzello Interno</t>
  </si>
  <si>
    <t>&lt;Zeilentitel_2.17&gt;</t>
  </si>
  <si>
    <t>Son Gagl</t>
  </si>
  <si>
    <t>San Gallo</t>
  </si>
  <si>
    <t>&lt;Zeilentitel_2.18&gt;</t>
  </si>
  <si>
    <t>Grischun</t>
  </si>
  <si>
    <t>Grigioni</t>
  </si>
  <si>
    <t>&lt;Zeilentitel_2.19&gt;</t>
  </si>
  <si>
    <t>Argovia</t>
  </si>
  <si>
    <t>&lt;Zeilentitel_2.20&gt;</t>
  </si>
  <si>
    <t>Turgovia</t>
  </si>
  <si>
    <t>&lt;Zeilentitel_2.21&gt;</t>
  </si>
  <si>
    <t>Tessin</t>
  </si>
  <si>
    <t>&lt;Zeilentitel_2.22&gt;</t>
  </si>
  <si>
    <t>Vad</t>
  </si>
  <si>
    <t>&lt;Zeilentitel_2.23&gt;</t>
  </si>
  <si>
    <t>Vallais</t>
  </si>
  <si>
    <t>Vallese</t>
  </si>
  <si>
    <t>&lt;Zeilentitel_2.24&gt;</t>
  </si>
  <si>
    <t>&lt;Zeilentitel_2.25&gt;</t>
  </si>
  <si>
    <t>Genevra</t>
  </si>
  <si>
    <t>Ginevra</t>
  </si>
  <si>
    <t>&lt;Zeilentitel_2.26&gt;</t>
  </si>
  <si>
    <t>Giura</t>
  </si>
  <si>
    <t>&lt;Legende_1&gt;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</si>
  <si>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</si>
  <si>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</si>
  <si>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</si>
  <si>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</si>
  <si>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</si>
  <si>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&lt;Legende_3&gt;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</si>
  <si>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</si>
  <si>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</si>
  <si>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&lt;Legende_4&gt;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</si>
  <si>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</si>
  <si>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</si>
  <si>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</si>
  <si>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Funtauna: UST (enquista da structura)</t>
  </si>
  <si>
    <t>Fonte: UST (Rilevazione strutturale)</t>
  </si>
  <si>
    <t>&lt;Aktualisierung&gt;</t>
  </si>
  <si>
    <t>T2</t>
  </si>
  <si>
    <t>&lt;T2Titel&gt;</t>
  </si>
  <si>
    <t>&lt;T2Zeilentitel_1&gt;</t>
  </si>
  <si>
    <t>&lt;T2Zeilentitel_2&gt;</t>
  </si>
  <si>
    <t>Sesso</t>
  </si>
  <si>
    <t>&lt;T2Zeilentitel_3&gt;</t>
  </si>
  <si>
    <t>Età</t>
  </si>
  <si>
    <t>&lt;T2Zeilentitel_4&gt;</t>
  </si>
  <si>
    <t>Naziunalitad</t>
  </si>
  <si>
    <t>Cittadinanza</t>
  </si>
  <si>
    <t>&lt;T2Zeilentitel_5&gt;</t>
  </si>
  <si>
    <t>Status da migraziun</t>
  </si>
  <si>
    <t>Passato migratorio</t>
  </si>
  <si>
    <t>&lt;T2Zeilentitel_6&gt;</t>
  </si>
  <si>
    <t>Categorias socioprofessiunalas</t>
  </si>
  <si>
    <t>Categorie socio-professionali</t>
  </si>
  <si>
    <t>&lt;T2Zeilentitel_7&gt;</t>
  </si>
  <si>
    <t>&lt;T2Zeilentitel_2.1&gt;</t>
  </si>
  <si>
    <t>Umens</t>
  </si>
  <si>
    <t>Uomini</t>
  </si>
  <si>
    <t>&lt;T2Zeilentitel_2.2&gt;</t>
  </si>
  <si>
    <t>Dunnas</t>
  </si>
  <si>
    <t>Donne</t>
  </si>
  <si>
    <t>&lt;T2Zeilentitel_3.1&gt;</t>
  </si>
  <si>
    <t>&lt;T2Zeilentitel_3.2&gt;</t>
  </si>
  <si>
    <t>&lt;T2Zeilentitel_3.3&gt;</t>
  </si>
  <si>
    <t>65 e dapli</t>
  </si>
  <si>
    <t>65 e più</t>
  </si>
  <si>
    <t>&lt;T2Zeilentitel_4.1&gt;</t>
  </si>
  <si>
    <t>Svizra</t>
  </si>
  <si>
    <t>Svizzera</t>
  </si>
  <si>
    <t>&lt;T2Zeilentitel_4.2&gt;</t>
  </si>
  <si>
    <t>UE e AELS</t>
  </si>
  <si>
    <t>&lt;T2Zeilentitel_4.3&gt;</t>
  </si>
  <si>
    <t>Altro paese europeo</t>
  </si>
  <si>
    <t>&lt;T2Zeilentitel_4.4&gt;</t>
  </si>
  <si>
    <t>Paese extraeuropeo</t>
  </si>
  <si>
    <t>&lt;T2Zeilentitel_4.5&gt;</t>
  </si>
  <si>
    <t>Naziunalitad n'è betg enconuschenta</t>
  </si>
  <si>
    <t>Cittadinanza sconosciuta</t>
  </si>
  <si>
    <t>&lt;T2Zeilentitel_5.1&gt;</t>
  </si>
  <si>
    <t>Svizzers senza retroterra da migraziun</t>
  </si>
  <si>
    <t>Svizzeri/e senza un passato migratorio</t>
  </si>
  <si>
    <t>&lt;T2Zeilentitel_5.2&gt;</t>
  </si>
  <si>
    <t>Svizzers cun ina migraziun</t>
  </si>
  <si>
    <t>Svizzeri/e con un passato migratorio</t>
  </si>
  <si>
    <t>&lt;T2Zeilentitel_5.3&gt;</t>
  </si>
  <si>
    <t>Persunas estras da l'emprima generaziun</t>
  </si>
  <si>
    <t>Stranieri/e di prima generazione</t>
  </si>
  <si>
    <t>&lt;T2Zeilentitel_5.4&gt;</t>
  </si>
  <si>
    <t>Persunas estras da la segunda generaziun e da l'emprima</t>
  </si>
  <si>
    <t>Stranieri/e di seconda generazione e più</t>
  </si>
  <si>
    <t>&lt;T2Zeilentitel_5.5&gt;</t>
  </si>
  <si>
    <t>La migraziun n'è betg enconuschenta</t>
  </si>
  <si>
    <t>Passato migratorio sconosciuto</t>
  </si>
  <si>
    <t>&lt;T2Zeilentitel_6.1&gt;</t>
  </si>
  <si>
    <t>Management suprem</t>
  </si>
  <si>
    <t>Management superiore</t>
  </si>
  <si>
    <t>&lt;T2Zeilentitel_6.2&gt;</t>
  </si>
  <si>
    <t>Professiuns libras ed egualas</t>
  </si>
  <si>
    <t>Professioni liberali ed equiparate</t>
  </si>
  <si>
    <t>&lt;T2Zeilentitel_6.3&gt;</t>
  </si>
  <si>
    <t>Autras persunas independentas</t>
  </si>
  <si>
    <t>Altri indipendenti</t>
  </si>
  <si>
    <t>Professiuns academicas e cader superiur</t>
  </si>
  <si>
    <t>Professioni accademiche e quadri superiori</t>
  </si>
  <si>
    <t>Professiuns intermediaras</t>
  </si>
  <si>
    <t>Professioni intermediarie</t>
  </si>
  <si>
    <t>Professiuns betg manualas qualifitgadas</t>
  </si>
  <si>
    <t>Professioni qualificate non manuali</t>
  </si>
  <si>
    <t>Professiuns manualas qualifitgadas</t>
  </si>
  <si>
    <t>Professioni qualificate manuali</t>
  </si>
  <si>
    <t>Impiegati e operai non qualificati</t>
  </si>
  <si>
    <t>Emprendistas ed emprendists en ina furmaziun fundamentala professiunala dubla (emprendists)</t>
  </si>
  <si>
    <t>Persone in formazione professionale di base duale (apprendisti)</t>
  </si>
  <si>
    <t>Occupati non attribuibili (dati di base mancanti)</t>
  </si>
  <si>
    <t>Persunas senza activitad da gudogn e persunas senza activitad da gudogn</t>
  </si>
  <si>
    <t>Disoccupati e persone senza attività professionale</t>
  </si>
  <si>
    <t>&lt;T2Zeilentitel_7.1&gt;</t>
  </si>
  <si>
    <t>Senza formazione postobbligatoria</t>
  </si>
  <si>
    <t>&lt;T2Zeilentitel_7.2&gt;</t>
  </si>
  <si>
    <t>&lt;T2Zeilentitel_7.3&gt;</t>
  </si>
  <si>
    <t>Höchste abgeschlossene Ausbildung nach Kanton</t>
  </si>
  <si>
    <t>Höchste abgeschlossene Ausbildung im Kanton Graubünden</t>
  </si>
  <si>
    <t>EU und EFTA</t>
  </si>
  <si>
    <t>Anderer europäischer Staat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</si>
  <si>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</si>
  <si>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</si>
  <si>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</si>
  <si>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</si>
  <si>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</si>
  <si>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</si>
  <si>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</si>
  <si>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</si>
  <si>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Formazione più elevata conclusa secondo il Cantone</t>
  </si>
  <si>
    <t>Popolazione residente permanente di 25 anni e più</t>
  </si>
  <si>
    <t>Livello secondario II: formazione professionale</t>
  </si>
  <si>
    <t>Livello secondario II: formazione generale</t>
  </si>
  <si>
    <t>Livello terziario: formazione professionale superiore</t>
  </si>
  <si>
    <t>Livello terziario: scuole superiori</t>
  </si>
  <si>
    <t>Posizione nel mercato del lavoro</t>
  </si>
  <si>
    <t>La pli auta scolaziun terminada tenor il chantun</t>
  </si>
  <si>
    <t>Populaziun residenta permanenta a partir da 25 onns</t>
  </si>
  <si>
    <t>Senza scolaziun postobligatorica</t>
  </si>
  <si>
    <t>Stgalim secundar II: furmaziun professiunala</t>
  </si>
  <si>
    <t>Stgalim secundar II: furmaziun generala</t>
  </si>
  <si>
    <t>Stgalim terziar: furmaziun professiunala superiura</t>
  </si>
  <si>
    <t>Stgalim terziar: scolas autas</t>
  </si>
  <si>
    <t>La pli auta scolaziun terminada en il chantun Grischun</t>
  </si>
  <si>
    <t>Schlattaina</t>
  </si>
  <si>
    <t>Vegliandrament</t>
  </si>
  <si>
    <t>Status dal martgà da lavur</t>
  </si>
  <si>
    <t>UE ed AECL</t>
  </si>
  <si>
    <t>In auter pajais europeic</t>
  </si>
  <si>
    <t>Emploiadas e lavurants betg emprendids</t>
  </si>
  <si>
    <t>Persunas cun activitad da gudogn che na pon betg vegnir attribuidas (datas da basa mancantas u betg cleras)</t>
  </si>
  <si>
    <t>Stadi ordaifer l'Europa</t>
  </si>
  <si>
    <t>Formazione più elevata conclusa nel Cantone dei Grigioni</t>
  </si>
  <si>
    <t>Letztmals aktualisiert am: 29.01.2026</t>
  </si>
  <si>
    <t>Ultima actualisaziun: 29.01.2026</t>
  </si>
  <si>
    <t>Ulimo aggiornamento: 29.01.2026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</si>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</sst>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 * #,##0.0%_ ;_ * \-#,##0.0%_ ;_ * &quot;-&quot;??_ ;_ @_ "/>
    <numFmt numFmtId="167" formatCode="* #,###"/>
    <numFmt numFmtId="168" formatCode="_-* #,##0.00\ _€_-;\-* #,##0.00\ _€_-;_-* &quot;-&quot;??\ _€_-;_-@_-"/>
    <numFmt numFmtId="169" formatCode="0.0"/>
    <numFmt numFmtId="170" formatCode="\(0.0\)"/>
    <numFmt numFmtId="171" formatCode="\(##0\)"/>
    <numFmt numFmtId="172" formatCode="\(#\'##0\)"/>
  </numFmts>
  <fonts count="1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2" fillId="0" borderId="0"/>
    <xf numFmtId="0" fontId="6" fillId="0" borderId="0"/>
  </cellStyleXfs>
  <cellXfs count="121">
    <xf numFmtId="0" fontId="0" fillId="0" borderId="0" xfId="0"/>
    <xf numFmtId="0" fontId="5" fillId="3" borderId="0" xfId="0" applyNumberFormat="1" applyFont="1" applyFill="1" applyBorder="1" applyAlignment="1" applyProtection="1">
      <alignment horizontal="left" vertical="top"/>
    </xf>
    <xf numFmtId="165" fontId="5" fillId="3" borderId="0" xfId="1" applyNumberFormat="1" applyFont="1" applyFill="1" applyBorder="1" applyAlignment="1" applyProtection="1">
      <alignment horizontal="left" vertical="top"/>
    </xf>
    <xf numFmtId="0" fontId="1" fillId="2" borderId="0" xfId="0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/>
    <xf numFmtId="166" fontId="1" fillId="2" borderId="0" xfId="1" applyNumberFormat="1" applyFont="1" applyFill="1" applyBorder="1" applyAlignment="1" applyProtection="1"/>
    <xf numFmtId="0" fontId="7" fillId="3" borderId="0" xfId="0" applyNumberFormat="1" applyFont="1" applyFill="1" applyBorder="1" applyAlignment="1" applyProtection="1">
      <alignment horizontal="left" vertical="center"/>
    </xf>
    <xf numFmtId="166" fontId="5" fillId="3" borderId="0" xfId="1" applyNumberFormat="1" applyFont="1" applyFill="1" applyBorder="1" applyAlignment="1" applyProtection="1">
      <alignment horizontal="left" vertical="top"/>
    </xf>
    <xf numFmtId="0" fontId="1" fillId="0" borderId="0" xfId="0" applyFont="1"/>
    <xf numFmtId="0" fontId="1" fillId="4" borderId="0" xfId="0" applyFont="1" applyFill="1"/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2" fillId="4" borderId="0" xfId="0" applyFont="1" applyFill="1"/>
    <xf numFmtId="0" fontId="1" fillId="0" borderId="0" xfId="0" applyFont="1" applyFill="1"/>
    <xf numFmtId="0" fontId="7" fillId="3" borderId="2" xfId="0" applyNumberFormat="1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8" fillId="8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 applyProtection="1">
      <alignment horizontal="left" vertical="top" wrapText="1"/>
      <protection locked="0"/>
    </xf>
    <xf numFmtId="0" fontId="2" fillId="9" borderId="0" xfId="0" applyFont="1" applyFill="1" applyBorder="1" applyAlignment="1">
      <alignment horizontal="left" vertical="top" wrapText="1"/>
    </xf>
    <xf numFmtId="0" fontId="9" fillId="4" borderId="0" xfId="0" applyFont="1" applyFill="1"/>
    <xf numFmtId="0" fontId="0" fillId="4" borderId="0" xfId="0" applyFill="1"/>
    <xf numFmtId="0" fontId="10" fillId="4" borderId="0" xfId="0" applyFont="1" applyFill="1"/>
    <xf numFmtId="0" fontId="11" fillId="3" borderId="0" xfId="0" applyFont="1" applyFill="1" applyAlignment="1">
      <alignment horizontal="left" vertical="top"/>
    </xf>
    <xf numFmtId="0" fontId="12" fillId="4" borderId="0" xfId="5" applyFont="1" applyFill="1" applyAlignment="1">
      <alignment horizontal="left" vertical="top"/>
    </xf>
    <xf numFmtId="165" fontId="12" fillId="4" borderId="0" xfId="2" applyNumberFormat="1" applyFont="1" applyFill="1" applyBorder="1" applyAlignment="1" applyProtection="1">
      <alignment horizontal="left" vertical="top"/>
    </xf>
    <xf numFmtId="0" fontId="4" fillId="4" borderId="0" xfId="0" applyFont="1" applyFill="1"/>
    <xf numFmtId="0" fontId="7" fillId="3" borderId="0" xfId="0" applyFont="1" applyFill="1" applyAlignment="1">
      <alignment horizontal="left" vertical="center"/>
    </xf>
    <xf numFmtId="0" fontId="2" fillId="8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3" borderId="0" xfId="0" applyNumberFormat="1" applyFont="1" applyFill="1" applyBorder="1" applyAlignment="1" applyProtection="1">
      <alignment vertical="top" wrapText="1"/>
    </xf>
    <xf numFmtId="3" fontId="2" fillId="5" borderId="0" xfId="3" applyNumberFormat="1" applyFont="1" applyFill="1" applyBorder="1" applyAlignment="1" applyProtection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3" borderId="20" xfId="0" applyNumberFormat="1" applyFont="1" applyFill="1" applyBorder="1" applyAlignment="1" applyProtection="1">
      <alignment horizontal="left" vertical="center" wrapText="1"/>
    </xf>
    <xf numFmtId="3" fontId="2" fillId="5" borderId="4" xfId="3" applyNumberFormat="1" applyFont="1" applyFill="1" applyBorder="1" applyAlignment="1" applyProtection="1">
      <alignment horizontal="right" vertical="center" wrapText="1"/>
    </xf>
    <xf numFmtId="169" fontId="2" fillId="5" borderId="6" xfId="3" applyNumberFormat="1" applyFont="1" applyFill="1" applyBorder="1" applyAlignment="1" applyProtection="1">
      <alignment horizontal="right" vertical="center" wrapText="1"/>
    </xf>
    <xf numFmtId="3" fontId="2" fillId="5" borderId="5" xfId="3" applyNumberFormat="1" applyFont="1" applyFill="1" applyBorder="1" applyAlignment="1" applyProtection="1">
      <alignment horizontal="right" vertical="center" wrapText="1"/>
    </xf>
    <xf numFmtId="169" fontId="2" fillId="5" borderId="0" xfId="3" applyNumberFormat="1" applyFont="1" applyFill="1" applyBorder="1" applyAlignment="1" applyProtection="1">
      <alignment horizontal="right" vertical="center" wrapText="1"/>
    </xf>
    <xf numFmtId="3" fontId="2" fillId="5" borderId="0" xfId="3" applyNumberFormat="1" applyFont="1" applyFill="1" applyBorder="1" applyAlignment="1" applyProtection="1">
      <alignment horizontal="right" vertical="center" wrapText="1"/>
    </xf>
    <xf numFmtId="169" fontId="2" fillId="5" borderId="9" xfId="3" applyNumberFormat="1" applyFont="1" applyFill="1" applyBorder="1" applyAlignment="1" applyProtection="1">
      <alignment horizontal="right" vertical="center" wrapText="1"/>
    </xf>
    <xf numFmtId="167" fontId="8" fillId="0" borderId="3" xfId="3" applyNumberFormat="1" applyFont="1" applyFill="1" applyBorder="1" applyAlignment="1" applyProtection="1">
      <alignment horizontal="right" vertical="center" wrapText="1"/>
    </xf>
    <xf numFmtId="169" fontId="8" fillId="0" borderId="1" xfId="3" applyNumberFormat="1" applyFont="1" applyFill="1" applyBorder="1" applyAlignment="1" applyProtection="1">
      <alignment horizontal="right" vertical="center" wrapText="1"/>
    </xf>
    <xf numFmtId="167" fontId="8" fillId="0" borderId="1" xfId="3" applyNumberFormat="1" applyFont="1" applyFill="1" applyBorder="1" applyAlignment="1" applyProtection="1">
      <alignment horizontal="right" vertical="center" wrapText="1"/>
    </xf>
    <xf numFmtId="3" fontId="2" fillId="0" borderId="4" xfId="3" applyNumberFormat="1" applyFont="1" applyFill="1" applyBorder="1" applyAlignment="1" applyProtection="1">
      <alignment horizontal="right" vertical="center" wrapText="1"/>
    </xf>
    <xf numFmtId="169" fontId="2" fillId="0" borderId="0" xfId="3" applyNumberFormat="1" applyFont="1" applyFill="1" applyBorder="1" applyAlignment="1" applyProtection="1">
      <alignment horizontal="right" vertical="center" wrapText="1"/>
    </xf>
    <xf numFmtId="3" fontId="2" fillId="0" borderId="0" xfId="3" applyNumberFormat="1" applyFont="1" applyFill="1" applyBorder="1" applyAlignment="1" applyProtection="1">
      <alignment horizontal="right" vertical="center" wrapText="1"/>
    </xf>
    <xf numFmtId="172" fontId="2" fillId="0" borderId="0" xfId="3" applyNumberFormat="1" applyFont="1" applyFill="1" applyBorder="1" applyAlignment="1" applyProtection="1">
      <alignment horizontal="right" vertical="center" wrapText="1"/>
    </xf>
    <xf numFmtId="170" fontId="2" fillId="0" borderId="0" xfId="3" applyNumberFormat="1" applyFont="1" applyFill="1" applyBorder="1" applyAlignment="1" applyProtection="1">
      <alignment horizontal="right" vertical="center" wrapText="1"/>
    </xf>
    <xf numFmtId="171" fontId="2" fillId="0" borderId="0" xfId="3" applyNumberFormat="1" applyFont="1" applyFill="1" applyBorder="1" applyAlignment="1" applyProtection="1">
      <alignment horizontal="right" vertical="center" wrapText="1"/>
    </xf>
    <xf numFmtId="3" fontId="2" fillId="0" borderId="13" xfId="3" applyNumberFormat="1" applyFont="1" applyFill="1" applyBorder="1" applyAlignment="1" applyProtection="1">
      <alignment horizontal="right" vertical="center" wrapText="1"/>
    </xf>
    <xf numFmtId="169" fontId="2" fillId="0" borderId="2" xfId="3" applyNumberFormat="1" applyFont="1" applyFill="1" applyBorder="1" applyAlignment="1" applyProtection="1">
      <alignment horizontal="right" vertical="center" wrapText="1"/>
    </xf>
    <xf numFmtId="3" fontId="2" fillId="0" borderId="2" xfId="3" applyNumberFormat="1" applyFont="1" applyFill="1" applyBorder="1" applyAlignment="1" applyProtection="1">
      <alignment horizontal="right" vertical="center" wrapText="1"/>
    </xf>
    <xf numFmtId="169" fontId="8" fillId="0" borderId="28" xfId="3" applyNumberFormat="1" applyFont="1" applyFill="1" applyBorder="1" applyAlignment="1" applyProtection="1">
      <alignment horizontal="right" vertical="center" wrapText="1"/>
    </xf>
    <xf numFmtId="167" fontId="8" fillId="0" borderId="29" xfId="3" applyNumberFormat="1" applyFont="1" applyFill="1" applyBorder="1" applyAlignment="1" applyProtection="1">
      <alignment horizontal="right" vertical="center" wrapText="1"/>
    </xf>
    <xf numFmtId="169" fontId="2" fillId="0" borderId="6" xfId="3" applyNumberFormat="1" applyFont="1" applyFill="1" applyBorder="1" applyAlignment="1" applyProtection="1">
      <alignment horizontal="right" vertical="center" wrapText="1"/>
    </xf>
    <xf numFmtId="3" fontId="2" fillId="0" borderId="5" xfId="3" applyNumberFormat="1" applyFont="1" applyFill="1" applyBorder="1" applyAlignment="1" applyProtection="1">
      <alignment horizontal="right" vertical="center" wrapText="1"/>
    </xf>
    <xf numFmtId="169" fontId="2" fillId="0" borderId="12" xfId="3" applyNumberFormat="1" applyFont="1" applyFill="1" applyBorder="1" applyAlignment="1" applyProtection="1">
      <alignment horizontal="right" vertical="center" wrapText="1"/>
    </xf>
    <xf numFmtId="3" fontId="2" fillId="0" borderId="11" xfId="3" applyNumberFormat="1" applyFont="1" applyFill="1" applyBorder="1" applyAlignment="1" applyProtection="1">
      <alignment horizontal="right" vertical="center" wrapText="1"/>
    </xf>
    <xf numFmtId="170" fontId="2" fillId="0" borderId="6" xfId="3" applyNumberFormat="1" applyFont="1" applyFill="1" applyBorder="1" applyAlignment="1" applyProtection="1">
      <alignment horizontal="right" vertical="center" wrapText="1"/>
    </xf>
    <xf numFmtId="169" fontId="8" fillId="0" borderId="30" xfId="3" applyNumberFormat="1" applyFont="1" applyFill="1" applyBorder="1" applyAlignment="1" applyProtection="1">
      <alignment horizontal="right" vertical="center" wrapText="1"/>
    </xf>
    <xf numFmtId="169" fontId="2" fillId="0" borderId="9" xfId="3" applyNumberFormat="1" applyFont="1" applyFill="1" applyBorder="1" applyAlignment="1" applyProtection="1">
      <alignment horizontal="right" vertical="center" wrapText="1"/>
    </xf>
    <xf numFmtId="169" fontId="2" fillId="0" borderId="14" xfId="3" applyNumberFormat="1" applyFont="1" applyFill="1" applyBorder="1" applyAlignment="1" applyProtection="1">
      <alignment horizontal="right" vertical="center" wrapText="1"/>
    </xf>
    <xf numFmtId="167" fontId="8" fillId="0" borderId="21" xfId="3" applyNumberFormat="1" applyFont="1" applyFill="1" applyBorder="1" applyAlignment="1" applyProtection="1">
      <alignment horizontal="right" vertical="center" wrapText="1"/>
    </xf>
    <xf numFmtId="169" fontId="8" fillId="0" borderId="22" xfId="3" applyNumberFormat="1" applyFont="1" applyFill="1" applyBorder="1" applyAlignment="1" applyProtection="1">
      <alignment horizontal="right" vertical="center" wrapText="1"/>
    </xf>
    <xf numFmtId="167" fontId="8" fillId="0" borderId="23" xfId="3" applyNumberFormat="1" applyFont="1" applyFill="1" applyBorder="1" applyAlignment="1" applyProtection="1">
      <alignment horizontal="right" vertical="center" wrapText="1"/>
    </xf>
    <xf numFmtId="169" fontId="8" fillId="0" borderId="24" xfId="3" applyNumberFormat="1" applyFont="1" applyFill="1" applyBorder="1" applyAlignment="1" applyProtection="1">
      <alignment horizontal="right" vertical="center" wrapText="1"/>
    </xf>
    <xf numFmtId="167" fontId="8" fillId="0" borderId="24" xfId="3" applyNumberFormat="1" applyFont="1" applyFill="1" applyBorder="1" applyAlignment="1" applyProtection="1">
      <alignment horizontal="right" vertical="center" wrapText="1"/>
    </xf>
    <xf numFmtId="169" fontId="8" fillId="0" borderId="25" xfId="3" applyNumberFormat="1" applyFont="1" applyFill="1" applyBorder="1" applyAlignment="1" applyProtection="1">
      <alignment horizontal="right" vertical="center" wrapText="1"/>
    </xf>
    <xf numFmtId="3" fontId="2" fillId="0" borderId="20" xfId="3" applyNumberFormat="1" applyFont="1" applyFill="1" applyBorder="1" applyAlignment="1" applyProtection="1">
      <alignment horizontal="right" vertical="center" wrapText="1"/>
    </xf>
    <xf numFmtId="169" fontId="2" fillId="0" borderId="20" xfId="3" applyNumberFormat="1" applyFont="1" applyFill="1" applyBorder="1" applyAlignment="1" applyProtection="1">
      <alignment horizontal="right" vertical="center" wrapText="1"/>
    </xf>
    <xf numFmtId="172" fontId="2" fillId="0" borderId="4" xfId="3" applyNumberFormat="1" applyFont="1" applyFill="1" applyBorder="1" applyAlignment="1" applyProtection="1">
      <alignment horizontal="right" vertical="center" wrapText="1"/>
    </xf>
    <xf numFmtId="171" fontId="2" fillId="0" borderId="4" xfId="3" applyNumberFormat="1" applyFont="1" applyFill="1" applyBorder="1" applyAlignment="1" applyProtection="1">
      <alignment horizontal="right" vertical="center" wrapText="1"/>
    </xf>
    <xf numFmtId="172" fontId="2" fillId="0" borderId="5" xfId="3" applyNumberFormat="1" applyFont="1" applyFill="1" applyBorder="1" applyAlignment="1" applyProtection="1">
      <alignment horizontal="right" vertical="center" wrapText="1"/>
    </xf>
    <xf numFmtId="171" fontId="2" fillId="0" borderId="5" xfId="3" applyNumberFormat="1" applyFont="1" applyFill="1" applyBorder="1" applyAlignment="1" applyProtection="1">
      <alignment horizontal="right" vertical="center" wrapText="1"/>
    </xf>
    <xf numFmtId="170" fontId="2" fillId="0" borderId="9" xfId="3" applyNumberFormat="1" applyFont="1" applyFill="1" applyBorder="1" applyAlignment="1" applyProtection="1">
      <alignment horizontal="right" vertical="center" wrapText="1"/>
    </xf>
    <xf numFmtId="3" fontId="2" fillId="0" borderId="3" xfId="3" applyNumberFormat="1" applyFont="1" applyFill="1" applyBorder="1" applyAlignment="1" applyProtection="1">
      <alignment horizontal="right" vertical="center" wrapText="1"/>
    </xf>
    <xf numFmtId="169" fontId="2" fillId="0" borderId="28" xfId="3" applyNumberFormat="1" applyFont="1" applyFill="1" applyBorder="1" applyAlignment="1" applyProtection="1">
      <alignment horizontal="right" vertical="center" wrapText="1"/>
    </xf>
    <xf numFmtId="3" fontId="2" fillId="0" borderId="29" xfId="3" applyNumberFormat="1" applyFont="1" applyFill="1" applyBorder="1" applyAlignment="1" applyProtection="1">
      <alignment horizontal="right" vertical="center" wrapText="1"/>
    </xf>
    <xf numFmtId="169" fontId="2" fillId="0" borderId="1" xfId="3" applyNumberFormat="1" applyFont="1" applyFill="1" applyBorder="1" applyAlignment="1" applyProtection="1">
      <alignment horizontal="right" vertical="center" wrapText="1"/>
    </xf>
    <xf numFmtId="3" fontId="2" fillId="0" borderId="1" xfId="3" applyNumberFormat="1" applyFont="1" applyFill="1" applyBorder="1" applyAlignment="1" applyProtection="1">
      <alignment horizontal="right" vertical="center" wrapText="1"/>
    </xf>
    <xf numFmtId="169" fontId="2" fillId="0" borderId="30" xfId="3" applyNumberFormat="1" applyFont="1" applyFill="1" applyBorder="1" applyAlignment="1" applyProtection="1">
      <alignment horizontal="right" vertical="center" wrapText="1"/>
    </xf>
    <xf numFmtId="3" fontId="2" fillId="0" borderId="16" xfId="3" applyNumberFormat="1" applyFont="1" applyFill="1" applyBorder="1" applyAlignment="1" applyProtection="1">
      <alignment horizontal="right" vertical="center" wrapText="1"/>
    </xf>
    <xf numFmtId="169" fontId="2" fillId="0" borderId="26" xfId="3" applyNumberFormat="1" applyFont="1" applyFill="1" applyBorder="1" applyAlignment="1" applyProtection="1">
      <alignment horizontal="right" vertical="center" wrapText="1"/>
    </xf>
    <xf numFmtId="3" fontId="2" fillId="0" borderId="27" xfId="3" applyNumberFormat="1" applyFont="1" applyFill="1" applyBorder="1" applyAlignment="1" applyProtection="1">
      <alignment horizontal="right" vertical="center" wrapText="1"/>
    </xf>
    <xf numFmtId="169" fontId="2" fillId="0" borderId="32" xfId="3" applyNumberFormat="1" applyFont="1" applyFill="1" applyBorder="1" applyAlignment="1" applyProtection="1">
      <alignment horizontal="right" vertical="center" wrapText="1"/>
    </xf>
    <xf numFmtId="0" fontId="7" fillId="3" borderId="33" xfId="1" applyNumberFormat="1" applyFont="1" applyFill="1" applyBorder="1" applyAlignment="1" applyProtection="1">
      <alignment horizontal="right" vertical="top" wrapText="1"/>
    </xf>
    <xf numFmtId="0" fontId="7" fillId="3" borderId="26" xfId="4" applyNumberFormat="1" applyFont="1" applyFill="1" applyBorder="1" applyAlignment="1" applyProtection="1">
      <alignment horizontal="right" vertical="top" wrapText="1"/>
    </xf>
    <xf numFmtId="0" fontId="7" fillId="3" borderId="27" xfId="1" applyNumberFormat="1" applyFont="1" applyFill="1" applyBorder="1" applyAlignment="1" applyProtection="1">
      <alignment horizontal="right" vertical="top" wrapText="1"/>
    </xf>
    <xf numFmtId="0" fontId="7" fillId="3" borderId="20" xfId="4" applyNumberFormat="1" applyFont="1" applyFill="1" applyBorder="1" applyAlignment="1" applyProtection="1">
      <alignment horizontal="right" vertical="top" wrapText="1"/>
    </xf>
    <xf numFmtId="0" fontId="7" fillId="3" borderId="20" xfId="1" applyNumberFormat="1" applyFont="1" applyFill="1" applyBorder="1" applyAlignment="1" applyProtection="1">
      <alignment horizontal="right" vertical="top" wrapText="1"/>
    </xf>
    <xf numFmtId="0" fontId="7" fillId="3" borderId="32" xfId="4" applyNumberFormat="1" applyFont="1" applyFill="1" applyBorder="1" applyAlignment="1" applyProtection="1">
      <alignment horizontal="right" vertical="top" wrapText="1"/>
    </xf>
    <xf numFmtId="0" fontId="7" fillId="3" borderId="8" xfId="1" applyNumberFormat="1" applyFont="1" applyFill="1" applyBorder="1" applyAlignment="1" applyProtection="1">
      <alignment horizontal="right" vertical="top" wrapText="1"/>
    </xf>
    <xf numFmtId="0" fontId="7" fillId="3" borderId="6" xfId="1" applyNumberFormat="1" applyFont="1" applyFill="1" applyBorder="1" applyAlignment="1" applyProtection="1">
      <alignment horizontal="right" vertical="top" wrapText="1"/>
    </xf>
    <xf numFmtId="0" fontId="7" fillId="3" borderId="5" xfId="1" applyNumberFormat="1" applyFont="1" applyFill="1" applyBorder="1" applyAlignment="1" applyProtection="1">
      <alignment horizontal="right" vertical="top" wrapText="1"/>
    </xf>
    <xf numFmtId="0" fontId="7" fillId="3" borderId="0" xfId="1" applyNumberFormat="1" applyFont="1" applyFill="1" applyBorder="1" applyAlignment="1" applyProtection="1">
      <alignment horizontal="right" vertical="top" wrapText="1"/>
    </xf>
    <xf numFmtId="0" fontId="7" fillId="3" borderId="9" xfId="1" applyNumberFormat="1" applyFont="1" applyFill="1" applyBorder="1" applyAlignment="1" applyProtection="1">
      <alignment horizontal="right" vertical="top" wrapText="1"/>
    </xf>
    <xf numFmtId="0" fontId="9" fillId="4" borderId="0" xfId="0" applyFont="1" applyFill="1" applyAlignment="1">
      <alignment horizontal="left" vertical="top" wrapText="1"/>
    </xf>
    <xf numFmtId="0" fontId="7" fillId="3" borderId="8" xfId="0" applyNumberFormat="1" applyFont="1" applyFill="1" applyBorder="1" applyAlignment="1" applyProtection="1">
      <alignment horizontal="left" vertical="top" wrapText="1"/>
    </xf>
    <xf numFmtId="0" fontId="7" fillId="3" borderId="10" xfId="0" applyNumberFormat="1" applyFont="1" applyFill="1" applyBorder="1" applyAlignment="1" applyProtection="1">
      <alignment horizontal="left" vertical="top" wrapText="1"/>
    </xf>
    <xf numFmtId="0" fontId="5" fillId="3" borderId="4" xfId="0" applyNumberFormat="1" applyFont="1" applyFill="1" applyBorder="1" applyAlignment="1" applyProtection="1">
      <alignment horizontal="center" vertical="top" wrapText="1"/>
    </xf>
    <xf numFmtId="0" fontId="5" fillId="3" borderId="0" xfId="0" applyNumberFormat="1" applyFont="1" applyFill="1" applyBorder="1" applyAlignment="1" applyProtection="1">
      <alignment horizontal="center" vertical="top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7" fillId="3" borderId="4" xfId="0" applyNumberFormat="1" applyFont="1" applyFill="1" applyBorder="1" applyAlignment="1" applyProtection="1">
      <alignment horizontal="left" vertical="top" wrapText="1"/>
    </xf>
    <xf numFmtId="0" fontId="7" fillId="3" borderId="3" xfId="0" applyNumberFormat="1" applyFont="1" applyFill="1" applyBorder="1" applyAlignment="1" applyProtection="1">
      <alignment horizontal="left" vertical="top" wrapText="1"/>
    </xf>
    <xf numFmtId="0" fontId="7" fillId="3" borderId="16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</cellXfs>
  <cellStyles count="10">
    <cellStyle name="Komma" xfId="1" builtinId="3"/>
    <cellStyle name="Komma 2" xfId="2" xr:uid="{00000000-0005-0000-0000-000001000000}"/>
    <cellStyle name="Komma 3" xfId="3" xr:uid="{00000000-0005-0000-0000-000002000000}"/>
    <cellStyle name="Prozent" xfId="4" builtinId="5"/>
    <cellStyle name="Standard" xfId="0" builtinId="0"/>
    <cellStyle name="Standard 2" xfId="5" xr:uid="{00000000-0005-0000-0000-000005000000}"/>
    <cellStyle name="Standard 2 2" xfId="8" xr:uid="{00000000-0005-0000-0000-000006000000}"/>
    <cellStyle name="Standard 3" xfId="6" xr:uid="{00000000-0005-0000-0000-000007000000}"/>
    <cellStyle name="Standard 4" xfId="7" xr:uid="{00000000-0005-0000-0000-000008000000}"/>
    <cellStyle name="Standard 4 2" xfId="9" xr:uid="{00000000-0005-0000-0000-000009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4202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  <xdr:twoCellAnchor>
    <xdr:from>
      <xdr:col>5</xdr:col>
      <xdr:colOff>380999</xdr:colOff>
      <xdr:row>0</xdr:row>
      <xdr:rowOff>9524</xdr:rowOff>
    </xdr:from>
    <xdr:to>
      <xdr:col>8</xdr:col>
      <xdr:colOff>766424</xdr:colOff>
      <xdr:row>4</xdr:row>
      <xdr:rowOff>147524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991099" y="9524"/>
          <a:ext cx="2700000" cy="900000"/>
          <a:chOff x="6010275" y="133349"/>
          <a:chExt cx="1886537" cy="829778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49"/>
            <a:ext cx="1886537" cy="829778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928127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oneCellAnchor>
  <xdr:twoCellAnchor>
    <xdr:from>
      <xdr:col>3</xdr:col>
      <xdr:colOff>323850</xdr:colOff>
      <xdr:row>0</xdr:row>
      <xdr:rowOff>9525</xdr:rowOff>
    </xdr:from>
    <xdr:to>
      <xdr:col>6</xdr:col>
      <xdr:colOff>252075</xdr:colOff>
      <xdr:row>4</xdr:row>
      <xdr:rowOff>147525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981575" y="9525"/>
          <a:ext cx="2700000" cy="9000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2049" name="Option Button 1" hidden="1">
                  <a:extLst>
                    <a:ext uri="{63B3BB69-23CF-44E3-9099-C40C66FF867C}">
                      <a14:compatExt spid="_x0000_s2049"/>
                    </a:ext>
                    <a:ext uri="{FF2B5EF4-FFF2-40B4-BE49-F238E27FC236}">
                      <a16:creationId xmlns:a16="http://schemas.microsoft.com/office/drawing/2014/main" id="{00000000-0008-0000-0100-00000108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050" name="Option Button 2" hidden="1">
                  <a:extLst>
                    <a:ext uri="{63B3BB69-23CF-44E3-9099-C40C66FF867C}">
                      <a14:compatExt spid="_x0000_s2050"/>
                    </a:ext>
                    <a:ext uri="{FF2B5EF4-FFF2-40B4-BE49-F238E27FC236}">
                      <a16:creationId xmlns:a16="http://schemas.microsoft.com/office/drawing/2014/main" id="{00000000-0008-0000-0100-0000020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051" name="Option Button 3" hidden="1">
                  <a:extLst>
                    <a:ext uri="{63B3BB69-23CF-44E3-9099-C40C66FF867C}">
                      <a14:compatExt spid="_x0000_s2051"/>
                    </a:ext>
                    <a:ext uri="{FF2B5EF4-FFF2-40B4-BE49-F238E27FC236}">
                      <a16:creationId xmlns:a16="http://schemas.microsoft.com/office/drawing/2014/main" id="{00000000-0008-0000-0100-00000308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51"/>
  <sheetViews>
    <sheetView showGridLines="0" tabSelected="1" zoomScaleNormal="100" workbookViewId="0"/>
  </sheetViews>
  <sheetFormatPr baseColWidth="10" defaultColWidth="11" defaultRowHeight="12.75" x14ac:dyDescent="0.2"/>
  <cols>
    <col min="1" max="1" width="11.5" style="3" customWidth="1"/>
    <col min="2" max="2" width="18.625" style="3" customWidth="1"/>
    <col min="3" max="3" width="10.125" style="3" customWidth="1"/>
    <col min="4" max="4" width="10.125" style="4" customWidth="1"/>
    <col min="5" max="5" width="10.125" style="5" customWidth="1"/>
    <col min="6" max="8" width="10.125" style="4" customWidth="1"/>
    <col min="9" max="14" width="10.125" style="3" customWidth="1"/>
    <col min="15" max="16384" width="11" style="3"/>
  </cols>
  <sheetData>
    <row r="1" spans="1:14" s="11" customFormat="1" x14ac:dyDescent="0.2"/>
    <row r="2" spans="1:14" s="11" customFormat="1" ht="15.75" x14ac:dyDescent="0.25">
      <c r="B2" s="20"/>
      <c r="C2" s="21"/>
      <c r="D2" s="21"/>
    </row>
    <row r="3" spans="1:14" s="11" customFormat="1" ht="15.75" x14ac:dyDescent="0.25">
      <c r="B3" s="20"/>
      <c r="C3" s="21"/>
      <c r="D3" s="21"/>
    </row>
    <row r="4" spans="1:14" s="11" customFormat="1" ht="15.75" x14ac:dyDescent="0.25">
      <c r="B4" s="20"/>
      <c r="C4" s="21"/>
      <c r="D4" s="21"/>
    </row>
    <row r="5" spans="1:14" s="11" customFormat="1" x14ac:dyDescent="0.2"/>
    <row r="6" spans="1:14" s="11" customFormat="1" x14ac:dyDescent="0.2"/>
    <row r="7" spans="1:14" s="11" customFormat="1" ht="15.75" customHeight="1" x14ac:dyDescent="0.2">
      <c r="A7" s="96" t="str">
        <f>VLOOKUP("&lt;Fachbereich&gt;",Uebersetzungen!$B$3:$E$194,Uebersetzungen!$B$2+1,FALSE)</f>
        <v>Daten &amp; Statistik</v>
      </c>
      <c r="B7" s="96"/>
      <c r="C7" s="22"/>
      <c r="D7" s="22"/>
      <c r="E7" s="22"/>
      <c r="F7" s="22"/>
      <c r="G7" s="22"/>
      <c r="H7" s="22"/>
    </row>
    <row r="8" spans="1:14" s="11" customFormat="1" x14ac:dyDescent="0.2"/>
    <row r="9" spans="1:14" s="26" customFormat="1" ht="18" x14ac:dyDescent="0.2">
      <c r="A9" s="23" t="str">
        <f>VLOOKUP("&lt;Titel&gt;",Uebersetzungen!$B$3:$E$194,Uebersetzungen!$B$2+1,FALSE)</f>
        <v>Höchste abgeschlossene Ausbildung nach Kanton</v>
      </c>
      <c r="B9" s="24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6" customFormat="1" ht="15" x14ac:dyDescent="0.2">
      <c r="A10" s="27" t="str">
        <f>VLOOKUP("&lt;UTitel&gt;",Uebersetzungen!$B$3:$E$194,Uebersetzungen!$B$2+1,FALSE)</f>
        <v>Ständige Wohnbevölkerung ab 25 Jahren</v>
      </c>
      <c r="B10" s="24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6" customFormat="1" ht="15.75" thickBot="1" x14ac:dyDescent="0.25">
      <c r="A11" s="27"/>
      <c r="B11" s="24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8" x14ac:dyDescent="0.25">
      <c r="C12" s="118">
        <v>2024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20"/>
    </row>
    <row r="13" spans="1:14" ht="50.25" customHeight="1" x14ac:dyDescent="0.2">
      <c r="A13" s="99"/>
      <c r="B13" s="100"/>
      <c r="C13" s="115" t="str">
        <f>VLOOKUP("&lt;SpaltenTitel_1&gt;",Uebersetzungen!$B$3:$E$194,Uebersetzungen!$B$2+1,FALSE)</f>
        <v>Total</v>
      </c>
      <c r="D13" s="116"/>
      <c r="E13" s="116" t="str">
        <f>VLOOKUP("&lt;SpaltenTitel_2&gt;",Uebersetzungen!$B$3:$E$194,Uebersetzungen!$B$2+1,FALSE)</f>
        <v>Ohne nachobligatorische Ausbildung</v>
      </c>
      <c r="F13" s="116"/>
      <c r="G13" s="116" t="str">
        <f>VLOOKUP("&lt;SpaltenTitel_3&gt;",Uebersetzungen!$B$3:$E$194,Uebersetzungen!$B$2+1,FALSE)</f>
        <v>Sekundarstufe II: Berufsbildung</v>
      </c>
      <c r="H13" s="116"/>
      <c r="I13" s="116" t="str">
        <f>VLOOKUP("&lt;SpaltenTitel_4&gt;",Uebersetzungen!$B$3:$E$194,Uebersetzungen!$B$2+1,FALSE)</f>
        <v>Sekundarstufe II: Allgemeinbildung</v>
      </c>
      <c r="J13" s="116"/>
      <c r="K13" s="116" t="str">
        <f>VLOOKUP("&lt;SpaltenTitel_5&gt;",Uebersetzungen!$B$3:$E$194,Uebersetzungen!$B$2+1,FALSE)</f>
        <v>Tertiärstufe: höhere Berufsbildung</v>
      </c>
      <c r="L13" s="116"/>
      <c r="M13" s="116" t="str">
        <f>VLOOKUP("&lt;SpaltenTitel_6&gt;",Uebersetzungen!$B$3:$E$194,Uebersetzungen!$B$2+1,FALSE)</f>
        <v>Tertiärstufe: Hochschulen</v>
      </c>
      <c r="N13" s="117"/>
    </row>
    <row r="14" spans="1:14" ht="40.5" customHeight="1" thickBot="1" x14ac:dyDescent="0.25">
      <c r="A14" s="99"/>
      <c r="B14" s="100"/>
      <c r="C14" s="91" t="str">
        <f>VLOOKUP("&lt;SpaltenTitel_1.1&gt;",Uebersetzungen!$B$3:$E$194,Uebersetzungen!$B$2+1,FALSE)</f>
        <v>Anzahl Personen</v>
      </c>
      <c r="D14" s="92" t="str">
        <f>VLOOKUP("&lt;SpaltenTitel_1.2&gt;",Uebersetzungen!$B$3:$E$194,Uebersetzungen!$B$2+1,FALSE)</f>
        <v>Vertrauens- intervall:          ± (in %)</v>
      </c>
      <c r="E14" s="93" t="str">
        <f>VLOOKUP("&lt;SpaltenTitel_1.1&gt;",Uebersetzungen!$B$3:$E$194,Uebersetzungen!$B$2+1,FALSE)</f>
        <v>Anzahl Personen</v>
      </c>
      <c r="F14" s="94" t="str">
        <f>VLOOKUP("&lt;SpaltenTitel_1.2&gt;",Uebersetzungen!$B$3:$E$194,Uebersetzungen!$B$2+1,FALSE)</f>
        <v>Vertrauens- intervall:          ± (in %)</v>
      </c>
      <c r="G14" s="93" t="str">
        <f>VLOOKUP("&lt;SpaltenTitel_1.1&gt;",Uebersetzungen!$B$3:$E$194,Uebersetzungen!$B$2+1,FALSE)</f>
        <v>Anzahl Personen</v>
      </c>
      <c r="H14" s="92" t="str">
        <f>VLOOKUP("&lt;SpaltenTitel_1.2&gt;",Uebersetzungen!$B$3:$E$194,Uebersetzungen!$B$2+1,FALSE)</f>
        <v>Vertrauens- intervall:          ± (in %)</v>
      </c>
      <c r="I14" s="94" t="str">
        <f>VLOOKUP("&lt;SpaltenTitel_1.1&gt;",Uebersetzungen!$B$3:$E$194,Uebersetzungen!$B$2+1,FALSE)</f>
        <v>Anzahl Personen</v>
      </c>
      <c r="J14" s="92" t="str">
        <f>VLOOKUP("&lt;SpaltenTitel_1.2&gt;",Uebersetzungen!$B$3:$E$194,Uebersetzungen!$B$2+1,FALSE)</f>
        <v>Vertrauens- intervall:          ± (in %)</v>
      </c>
      <c r="K14" s="93" t="str">
        <f>VLOOKUP("&lt;SpaltenTitel_1.1&gt;",Uebersetzungen!$B$3:$E$194,Uebersetzungen!$B$2+1,FALSE)</f>
        <v>Anzahl Personen</v>
      </c>
      <c r="L14" s="94" t="str">
        <f>VLOOKUP("&lt;SpaltenTitel_1.2&gt;",Uebersetzungen!$B$3:$E$194,Uebersetzungen!$B$2+1,FALSE)</f>
        <v>Vertrauens- intervall:          ± (in %)</v>
      </c>
      <c r="M14" s="93" t="str">
        <f>VLOOKUP("&lt;SpaltenTitel_1.1&gt;",Uebersetzungen!$B$3:$E$194,Uebersetzungen!$B$2+1,FALSE)</f>
        <v>Anzahl Personen</v>
      </c>
      <c r="N14" s="95" t="str">
        <f>VLOOKUP("&lt;SpaltenTitel_1.2&gt;",Uebersetzungen!$B$3:$E$194,Uebersetzungen!$B$2+1,FALSE)</f>
        <v>Vertrauens- intervall:          ± (in %)</v>
      </c>
    </row>
    <row r="15" spans="1:14" ht="13.9" customHeight="1" x14ac:dyDescent="0.2">
      <c r="A15" s="101" t="str">
        <f>VLOOKUP("&lt;Zeilentitel_1&gt;",Uebersetzungen!$B$3:$E$193,Uebersetzungen!$B$2+1,FALSE)</f>
        <v>Total</v>
      </c>
      <c r="B15" s="102"/>
      <c r="C15" s="62">
        <v>6610196.0000000196</v>
      </c>
      <c r="D15" s="63">
        <v>0.14362361116418851</v>
      </c>
      <c r="E15" s="64">
        <v>1074748.7985034322</v>
      </c>
      <c r="F15" s="65">
        <v>0.96259570885295676</v>
      </c>
      <c r="G15" s="64">
        <v>2088316.0251757419</v>
      </c>
      <c r="H15" s="63">
        <v>0.61770647254799893</v>
      </c>
      <c r="I15" s="66">
        <v>615018.2576565569</v>
      </c>
      <c r="J15" s="63">
        <v>1.2974792799546946</v>
      </c>
      <c r="K15" s="64">
        <v>1122451.0890310952</v>
      </c>
      <c r="L15" s="65">
        <v>0.91059323182062024</v>
      </c>
      <c r="M15" s="64">
        <v>1709661.8296331933</v>
      </c>
      <c r="N15" s="67">
        <v>0.68836652766487916</v>
      </c>
    </row>
    <row r="16" spans="1:14" x14ac:dyDescent="0.2">
      <c r="A16" s="97" t="str">
        <f>VLOOKUP("&lt;Zeilentitel_2&gt;",Uebersetzungen!$B$3:$E$193,Uebersetzungen!$B$2+1,FALSE)</f>
        <v>Kanton</v>
      </c>
      <c r="B16" s="10" t="str">
        <f>VLOOKUP("&lt;Zeilentitel_2.1&gt;",Uebersetzungen!$B$3:$E$193,Uebersetzungen!$B$2+1,FALSE)</f>
        <v>Zürich</v>
      </c>
      <c r="C16" s="43">
        <v>1194388.0000000033</v>
      </c>
      <c r="D16" s="54">
        <v>0.36441955761188238</v>
      </c>
      <c r="E16" s="55">
        <v>158844.93239607464</v>
      </c>
      <c r="F16" s="44">
        <v>2.8551188429866547</v>
      </c>
      <c r="G16" s="55">
        <v>312232.63296030893</v>
      </c>
      <c r="H16" s="54">
        <v>1.8167503227307182</v>
      </c>
      <c r="I16" s="45">
        <v>103183.0360045757</v>
      </c>
      <c r="J16" s="54">
        <v>3.5782528329668564</v>
      </c>
      <c r="K16" s="55">
        <v>210360.95307269797</v>
      </c>
      <c r="L16" s="44">
        <v>2.294944242301479</v>
      </c>
      <c r="M16" s="55">
        <v>409766.44556634623</v>
      </c>
      <c r="N16" s="60">
        <v>1.4802408110341359</v>
      </c>
    </row>
    <row r="17" spans="1:14" x14ac:dyDescent="0.2">
      <c r="A17" s="97"/>
      <c r="B17" s="10" t="str">
        <f>VLOOKUP("&lt;Zeilentitel_2.2&gt;",Uebersetzungen!$B$3:$E$193,Uebersetzungen!$B$2+1,FALSE)</f>
        <v>Bern</v>
      </c>
      <c r="C17" s="43">
        <v>794996.00000001537</v>
      </c>
      <c r="D17" s="54">
        <v>0.43582895151889917</v>
      </c>
      <c r="E17" s="55">
        <v>113393.73258503112</v>
      </c>
      <c r="F17" s="44">
        <v>3.2613819672843154</v>
      </c>
      <c r="G17" s="55">
        <v>290944.60014493275</v>
      </c>
      <c r="H17" s="54">
        <v>1.7343664194849586</v>
      </c>
      <c r="I17" s="45">
        <v>64643.826987233173</v>
      </c>
      <c r="J17" s="54">
        <v>4.4388749908807794</v>
      </c>
      <c r="K17" s="55">
        <v>161177.95242490026</v>
      </c>
      <c r="L17" s="44">
        <v>2.5497446728298403</v>
      </c>
      <c r="M17" s="55">
        <v>164835.88785791819</v>
      </c>
      <c r="N17" s="60">
        <v>2.5058815949954805</v>
      </c>
    </row>
    <row r="18" spans="1:14" x14ac:dyDescent="0.2">
      <c r="A18" s="97"/>
      <c r="B18" s="10" t="str">
        <f>VLOOKUP("&lt;Zeilentitel_2.3&gt;",Uebersetzungen!$B$3:$E$193,Uebersetzungen!$B$2+1,FALSE)</f>
        <v>Luzern</v>
      </c>
      <c r="C18" s="43">
        <v>319916.99999999936</v>
      </c>
      <c r="D18" s="54">
        <v>0.49664834238828515</v>
      </c>
      <c r="E18" s="55">
        <v>50172.583560163745</v>
      </c>
      <c r="F18" s="44">
        <v>3.4443497678996948</v>
      </c>
      <c r="G18" s="55">
        <v>109584.64544756466</v>
      </c>
      <c r="H18" s="54">
        <v>2.0580431670763177</v>
      </c>
      <c r="I18" s="45">
        <v>25370.680860614575</v>
      </c>
      <c r="J18" s="54">
        <v>5.0501945709639884</v>
      </c>
      <c r="K18" s="55">
        <v>69766.402858025118</v>
      </c>
      <c r="L18" s="44">
        <v>2.722679092177644</v>
      </c>
      <c r="M18" s="55">
        <v>65022.687273631273</v>
      </c>
      <c r="N18" s="60">
        <v>2.8824397358008054</v>
      </c>
    </row>
    <row r="19" spans="1:14" x14ac:dyDescent="0.2">
      <c r="A19" s="97"/>
      <c r="B19" s="10" t="str">
        <f>VLOOKUP("&lt;Zeilentitel_2.4&gt;",Uebersetzungen!$B$3:$E$193,Uebersetzungen!$B$2+1,FALSE)</f>
        <v>Uri</v>
      </c>
      <c r="C19" s="43">
        <v>28171.249760821011</v>
      </c>
      <c r="D19" s="54">
        <v>2.2853981410515969</v>
      </c>
      <c r="E19" s="55">
        <v>5880.5453323071933</v>
      </c>
      <c r="F19" s="44">
        <v>13.712337519197426</v>
      </c>
      <c r="G19" s="55">
        <v>11194.552850597098</v>
      </c>
      <c r="H19" s="54">
        <v>8.7011450379013535</v>
      </c>
      <c r="I19" s="46">
        <v>1583.783414834541</v>
      </c>
      <c r="J19" s="58">
        <v>28.676959524231997</v>
      </c>
      <c r="K19" s="55">
        <v>5700.90191036346</v>
      </c>
      <c r="L19" s="44">
        <v>13.494453039604647</v>
      </c>
      <c r="M19" s="55">
        <v>3811.4662527187206</v>
      </c>
      <c r="N19" s="60">
        <v>17.250072194281618</v>
      </c>
    </row>
    <row r="20" spans="1:14" x14ac:dyDescent="0.2">
      <c r="A20" s="97"/>
      <c r="B20" s="10" t="str">
        <f>VLOOKUP("&lt;Zeilentitel_2.5&gt;",Uebersetzungen!$B$3:$E$193,Uebersetzungen!$B$2+1,FALSE)</f>
        <v>Schwyz</v>
      </c>
      <c r="C20" s="43">
        <v>126156.00000000226</v>
      </c>
      <c r="D20" s="54">
        <v>1.0972235690903858</v>
      </c>
      <c r="E20" s="55">
        <v>19069.253907657941</v>
      </c>
      <c r="F20" s="44">
        <v>7.8587513094594685</v>
      </c>
      <c r="G20" s="55">
        <v>43101.916667981626</v>
      </c>
      <c r="H20" s="54">
        <v>4.6789761097981186</v>
      </c>
      <c r="I20" s="45">
        <v>8688.6272257653964</v>
      </c>
      <c r="J20" s="54">
        <v>12.148680491865585</v>
      </c>
      <c r="K20" s="55">
        <v>27483.414318482588</v>
      </c>
      <c r="L20" s="44">
        <v>6.2167697006365268</v>
      </c>
      <c r="M20" s="55">
        <v>27812.787880114705</v>
      </c>
      <c r="N20" s="60">
        <v>6.1782608740366864</v>
      </c>
    </row>
    <row r="21" spans="1:14" x14ac:dyDescent="0.2">
      <c r="A21" s="97"/>
      <c r="B21" s="10" t="str">
        <f>VLOOKUP("&lt;Zeilentitel_2.6&gt;",Uebersetzungen!$B$3:$E$193,Uebersetzungen!$B$2+1,FALSE)</f>
        <v>Obwalden</v>
      </c>
      <c r="C21" s="43">
        <v>29285.999999999593</v>
      </c>
      <c r="D21" s="54">
        <v>2.5023097925971638</v>
      </c>
      <c r="E21" s="55">
        <v>4692.0862130034657</v>
      </c>
      <c r="F21" s="44">
        <v>16.070020197358115</v>
      </c>
      <c r="G21" s="55">
        <v>10716.342748063867</v>
      </c>
      <c r="H21" s="54">
        <v>9.500846896129735</v>
      </c>
      <c r="I21" s="45">
        <v>2045.6179879234608</v>
      </c>
      <c r="J21" s="54">
        <v>25.450404755385357</v>
      </c>
      <c r="K21" s="55">
        <v>7046.1742604484434</v>
      </c>
      <c r="L21" s="44">
        <v>12.543905818647868</v>
      </c>
      <c r="M21" s="55">
        <v>4785.7787905603536</v>
      </c>
      <c r="N21" s="60">
        <v>15.852461591885868</v>
      </c>
    </row>
    <row r="22" spans="1:14" x14ac:dyDescent="0.2">
      <c r="A22" s="97"/>
      <c r="B22" s="10" t="str">
        <f>VLOOKUP("&lt;Zeilentitel_2.7&gt;",Uebersetzungen!$B$3:$E$193,Uebersetzungen!$B$2+1,FALSE)</f>
        <v>Nidwalden</v>
      </c>
      <c r="C22" s="43">
        <v>34494.999999999956</v>
      </c>
      <c r="D22" s="54">
        <v>2.0753560018610124</v>
      </c>
      <c r="E22" s="55">
        <v>4707.9681331579895</v>
      </c>
      <c r="F22" s="44">
        <v>16.088580064292877</v>
      </c>
      <c r="G22" s="55">
        <v>11879.892875073856</v>
      </c>
      <c r="H22" s="54">
        <v>8.6137641492263022</v>
      </c>
      <c r="I22" s="45">
        <v>2512.0828470905053</v>
      </c>
      <c r="J22" s="54">
        <v>22.124391568534868</v>
      </c>
      <c r="K22" s="55">
        <v>8468.4540244554046</v>
      </c>
      <c r="L22" s="44">
        <v>10.713314018583217</v>
      </c>
      <c r="M22" s="55">
        <v>6926.6021202222009</v>
      </c>
      <c r="N22" s="60">
        <v>12.416863591717549</v>
      </c>
    </row>
    <row r="23" spans="1:14" x14ac:dyDescent="0.2">
      <c r="A23" s="97"/>
      <c r="B23" s="10" t="str">
        <f>VLOOKUP("&lt;Zeilentitel_2.8&gt;",Uebersetzungen!$B$3:$E$193,Uebersetzungen!$B$2+1,FALSE)</f>
        <v>Glarus</v>
      </c>
      <c r="C23" s="43">
        <v>30908.700524803888</v>
      </c>
      <c r="D23" s="54">
        <v>2.2833779718975298</v>
      </c>
      <c r="E23" s="55">
        <v>7126.0631248149602</v>
      </c>
      <c r="F23" s="44">
        <v>12.865813919015462</v>
      </c>
      <c r="G23" s="55">
        <v>11814.653164466945</v>
      </c>
      <c r="H23" s="54">
        <v>8.895939001645937</v>
      </c>
      <c r="I23" s="45">
        <v>2497.8304150718013</v>
      </c>
      <c r="J23" s="54">
        <v>23.343501080335319</v>
      </c>
      <c r="K23" s="55">
        <v>6319.8638148633136</v>
      </c>
      <c r="L23" s="44">
        <v>13.29259427597183</v>
      </c>
      <c r="M23" s="55">
        <v>3150.2900055868658</v>
      </c>
      <c r="N23" s="60">
        <v>19.81616450569733</v>
      </c>
    </row>
    <row r="24" spans="1:14" x14ac:dyDescent="0.2">
      <c r="A24" s="97"/>
      <c r="B24" s="10" t="str">
        <f>VLOOKUP("&lt;Zeilentitel_2.9&gt;",Uebersetzungen!$B$3:$E$193,Uebersetzungen!$B$2+1,FALSE)</f>
        <v>Zug</v>
      </c>
      <c r="C24" s="43">
        <v>98599.999999998108</v>
      </c>
      <c r="D24" s="54">
        <v>0.86560290314321797</v>
      </c>
      <c r="E24" s="55">
        <v>10603.341284147476</v>
      </c>
      <c r="F24" s="44">
        <v>7.6640452250679587</v>
      </c>
      <c r="G24" s="55">
        <v>26184.310580723344</v>
      </c>
      <c r="H24" s="54">
        <v>4.35777907391802</v>
      </c>
      <c r="I24" s="45">
        <v>6966.3469637265844</v>
      </c>
      <c r="J24" s="54">
        <v>9.4534396485945287</v>
      </c>
      <c r="K24" s="55">
        <v>18589.239927664286</v>
      </c>
      <c r="L24" s="44">
        <v>5.326757515965765</v>
      </c>
      <c r="M24" s="55">
        <v>36256.761243736422</v>
      </c>
      <c r="N24" s="60">
        <v>3.4320876481185341</v>
      </c>
    </row>
    <row r="25" spans="1:14" x14ac:dyDescent="0.2">
      <c r="A25" s="97"/>
      <c r="B25" s="10" t="str">
        <f>VLOOKUP("&lt;Zeilentitel_2.10&gt;",Uebersetzungen!$B$3:$E$193,Uebersetzungen!$B$2+1,FALSE)</f>
        <v>Freiburg</v>
      </c>
      <c r="C25" s="43">
        <v>245853.99999999895</v>
      </c>
      <c r="D25" s="54">
        <v>0.85695941909919549</v>
      </c>
      <c r="E25" s="55">
        <v>51755.00083385074</v>
      </c>
      <c r="F25" s="44">
        <v>4.7184543589817647</v>
      </c>
      <c r="G25" s="55">
        <v>81485.565547691382</v>
      </c>
      <c r="H25" s="54">
        <v>3.3974457231885524</v>
      </c>
      <c r="I25" s="45">
        <v>22232.776111005296</v>
      </c>
      <c r="J25" s="54">
        <v>7.4992976174062713</v>
      </c>
      <c r="K25" s="55">
        <v>31477.087595415407</v>
      </c>
      <c r="L25" s="44">
        <v>6.0363416856235412</v>
      </c>
      <c r="M25" s="55">
        <v>58903.569912036124</v>
      </c>
      <c r="N25" s="60">
        <v>4.2172304838411341</v>
      </c>
    </row>
    <row r="26" spans="1:14" x14ac:dyDescent="0.2">
      <c r="A26" s="97"/>
      <c r="B26" s="10" t="str">
        <f>VLOOKUP("&lt;Zeilentitel_2.11&gt;",Uebersetzungen!$B$3:$E$193,Uebersetzungen!$B$2+1,FALSE)</f>
        <v>Solothurn</v>
      </c>
      <c r="C26" s="43">
        <v>215419.00000000463</v>
      </c>
      <c r="D26" s="54">
        <v>0.8883518796778751</v>
      </c>
      <c r="E26" s="55">
        <v>39301.344832098046</v>
      </c>
      <c r="F26" s="44">
        <v>5.6264910859044655</v>
      </c>
      <c r="G26" s="55">
        <v>77076.574320740925</v>
      </c>
      <c r="H26" s="54">
        <v>3.5026586158130879</v>
      </c>
      <c r="I26" s="45">
        <v>16662.714947629818</v>
      </c>
      <c r="J26" s="54">
        <v>9.0750193218857138</v>
      </c>
      <c r="K26" s="55">
        <v>44640.660420815424</v>
      </c>
      <c r="L26" s="44">
        <v>4.9002476811526519</v>
      </c>
      <c r="M26" s="55">
        <v>37737.705478720418</v>
      </c>
      <c r="N26" s="60">
        <v>5.5557461409150148</v>
      </c>
    </row>
    <row r="27" spans="1:14" x14ac:dyDescent="0.2">
      <c r="A27" s="97"/>
      <c r="B27" s="10" t="str">
        <f>VLOOKUP("&lt;Zeilentitel_2.12&gt;",Uebersetzungen!$B$3:$E$193,Uebersetzungen!$B$2+1,FALSE)</f>
        <v>Basel-Stadt</v>
      </c>
      <c r="C27" s="43">
        <v>151665.99999999878</v>
      </c>
      <c r="D27" s="54">
        <v>0.9753581689893871</v>
      </c>
      <c r="E27" s="55">
        <v>23871.021285911753</v>
      </c>
      <c r="F27" s="44">
        <v>7.4803396681441807</v>
      </c>
      <c r="G27" s="55">
        <v>30573.063512403012</v>
      </c>
      <c r="H27" s="54">
        <v>6.225656595004966</v>
      </c>
      <c r="I27" s="45">
        <v>14248.493482765683</v>
      </c>
      <c r="J27" s="54">
        <v>9.8062490491504803</v>
      </c>
      <c r="K27" s="55">
        <v>20613.753010451557</v>
      </c>
      <c r="L27" s="44">
        <v>7.6579008979106575</v>
      </c>
      <c r="M27" s="55">
        <v>62359.668708466765</v>
      </c>
      <c r="N27" s="60">
        <v>3.6994670122779842</v>
      </c>
    </row>
    <row r="28" spans="1:14" x14ac:dyDescent="0.2">
      <c r="A28" s="97"/>
      <c r="B28" s="10" t="str">
        <f>VLOOKUP("&lt;Zeilentitel_2.13&gt;",Uebersetzungen!$B$3:$E$193,Uebersetzungen!$B$2+1,FALSE)</f>
        <v>Basel-Landschaft</v>
      </c>
      <c r="C28" s="43">
        <v>224192.0000000025</v>
      </c>
      <c r="D28" s="54">
        <v>0.83210606470164805</v>
      </c>
      <c r="E28" s="55">
        <v>30481.977151319068</v>
      </c>
      <c r="F28" s="44">
        <v>6.3876927824700171</v>
      </c>
      <c r="G28" s="55">
        <v>76444.542623184883</v>
      </c>
      <c r="H28" s="54">
        <v>3.4935329524868544</v>
      </c>
      <c r="I28" s="45">
        <v>19557.905300881019</v>
      </c>
      <c r="J28" s="54">
        <v>8.0330430894401275</v>
      </c>
      <c r="K28" s="55">
        <v>43752.072357953788</v>
      </c>
      <c r="L28" s="44">
        <v>4.9311777703701853</v>
      </c>
      <c r="M28" s="55">
        <v>53955.502566663767</v>
      </c>
      <c r="N28" s="60">
        <v>4.4204280125235353</v>
      </c>
    </row>
    <row r="29" spans="1:14" x14ac:dyDescent="0.2">
      <c r="A29" s="97"/>
      <c r="B29" s="10" t="str">
        <f>VLOOKUP("&lt;Zeilentitel_2.14&gt;",Uebersetzungen!$B$3:$E$193,Uebersetzungen!$B$2+1,FALSE)</f>
        <v>Schaffhausen</v>
      </c>
      <c r="C29" s="43">
        <v>65996.999999999534</v>
      </c>
      <c r="D29" s="54">
        <v>1.6990209458575627</v>
      </c>
      <c r="E29" s="55">
        <v>9680.9921159346686</v>
      </c>
      <c r="F29" s="44">
        <v>11.505203332858329</v>
      </c>
      <c r="G29" s="55">
        <v>24599.250325019708</v>
      </c>
      <c r="H29" s="54">
        <v>6.2881796654009925</v>
      </c>
      <c r="I29" s="45">
        <v>5554.1036016560647</v>
      </c>
      <c r="J29" s="54">
        <v>15.843338024891695</v>
      </c>
      <c r="K29" s="55">
        <v>13279.343439763554</v>
      </c>
      <c r="L29" s="44">
        <v>9.3166778170771583</v>
      </c>
      <c r="M29" s="55">
        <v>12883.31051762553</v>
      </c>
      <c r="N29" s="60">
        <v>9.6104911665498776</v>
      </c>
    </row>
    <row r="30" spans="1:14" x14ac:dyDescent="0.2">
      <c r="A30" s="97"/>
      <c r="B30" s="10" t="str">
        <f>VLOOKUP("&lt;Zeilentitel_2.15&gt;",Uebersetzungen!$B$3:$E$193,Uebersetzungen!$B$2+1,FALSE)</f>
        <v>Appenzell Ausserrhoden</v>
      </c>
      <c r="C30" s="43">
        <v>41495.000000000327</v>
      </c>
      <c r="D30" s="54">
        <v>2.1588071890900982</v>
      </c>
      <c r="E30" s="55">
        <v>5969.1488353630184</v>
      </c>
      <c r="F30" s="44">
        <v>14.448837992888896</v>
      </c>
      <c r="G30" s="55">
        <v>14869.101981364169</v>
      </c>
      <c r="H30" s="54">
        <v>8.1949837723935985</v>
      </c>
      <c r="I30" s="45">
        <v>3690.5262391836236</v>
      </c>
      <c r="J30" s="54">
        <v>19.526132452543163</v>
      </c>
      <c r="K30" s="55">
        <v>9417.4732023177112</v>
      </c>
      <c r="L30" s="44">
        <v>10.651978828036048</v>
      </c>
      <c r="M30" s="55">
        <v>7548.749741771805</v>
      </c>
      <c r="N30" s="60">
        <v>12.241319092728117</v>
      </c>
    </row>
    <row r="31" spans="1:14" x14ac:dyDescent="0.2">
      <c r="A31" s="97"/>
      <c r="B31" s="10" t="str">
        <f>VLOOKUP("&lt;Zeilentitel_2.16&gt;",Uebersetzungen!$B$3:$E$193,Uebersetzungen!$B$2+1,FALSE)</f>
        <v>Appenzell Innerrhoden</v>
      </c>
      <c r="C31" s="43">
        <v>12269.049714374989</v>
      </c>
      <c r="D31" s="54">
        <v>3.3467073313984286</v>
      </c>
      <c r="E31" s="55">
        <v>2054.7845757520254</v>
      </c>
      <c r="F31" s="44">
        <v>23.298716644423152</v>
      </c>
      <c r="G31" s="55">
        <v>4855.9442427522799</v>
      </c>
      <c r="H31" s="54">
        <v>13.488093190565198</v>
      </c>
      <c r="I31" s="48">
        <v>941.01704346503277</v>
      </c>
      <c r="J31" s="58">
        <v>35.428182345862439</v>
      </c>
      <c r="K31" s="55">
        <v>2645.4835798560193</v>
      </c>
      <c r="L31" s="44">
        <v>20.119706078367976</v>
      </c>
      <c r="M31" s="55">
        <v>1771.8202725496315</v>
      </c>
      <c r="N31" s="60">
        <v>25.748404957107667</v>
      </c>
    </row>
    <row r="32" spans="1:14" x14ac:dyDescent="0.2">
      <c r="A32" s="97"/>
      <c r="B32" s="10" t="str">
        <f>VLOOKUP("&lt;Zeilentitel_2.17&gt;",Uebersetzungen!$B$3:$E$193,Uebersetzungen!$B$2+1,FALSE)</f>
        <v>St. Gallen</v>
      </c>
      <c r="C32" s="43">
        <v>392048.00000000314</v>
      </c>
      <c r="D32" s="54">
        <v>0.66446761099532514</v>
      </c>
      <c r="E32" s="55">
        <v>65421.544994975608</v>
      </c>
      <c r="F32" s="44">
        <v>4.2798666370977632</v>
      </c>
      <c r="G32" s="55">
        <v>144357.52448325616</v>
      </c>
      <c r="H32" s="54">
        <v>2.523513522976252</v>
      </c>
      <c r="I32" s="45">
        <v>34061.959371695622</v>
      </c>
      <c r="J32" s="54">
        <v>6.1757419485431084</v>
      </c>
      <c r="K32" s="55">
        <v>80478.699834445622</v>
      </c>
      <c r="L32" s="44">
        <v>3.6508383416354202</v>
      </c>
      <c r="M32" s="55">
        <v>67728.271315630118</v>
      </c>
      <c r="N32" s="60">
        <v>4.1221229938813746</v>
      </c>
    </row>
    <row r="33" spans="1:14" x14ac:dyDescent="0.2">
      <c r="A33" s="97"/>
      <c r="B33" s="31" t="str">
        <f>VLOOKUP("&lt;Zeilentitel_2.18&gt;",Uebersetzungen!$B$3:$E$193,Uebersetzungen!$B$2+1,FALSE)</f>
        <v>Graubünden</v>
      </c>
      <c r="C33" s="34">
        <v>157268.99999999604</v>
      </c>
      <c r="D33" s="35">
        <v>1.012002950820543</v>
      </c>
      <c r="E33" s="36">
        <v>24604.670187843807</v>
      </c>
      <c r="F33" s="37">
        <v>7.0526404259949746</v>
      </c>
      <c r="G33" s="36">
        <v>56629.017590547664</v>
      </c>
      <c r="H33" s="35">
        <v>4.0066818287827157</v>
      </c>
      <c r="I33" s="38">
        <v>16435.365699150127</v>
      </c>
      <c r="J33" s="35">
        <v>8.8673536957839119</v>
      </c>
      <c r="K33" s="36">
        <v>32548.950735427039</v>
      </c>
      <c r="L33" s="37">
        <v>5.736675395707973</v>
      </c>
      <c r="M33" s="36">
        <v>27050.995787027397</v>
      </c>
      <c r="N33" s="39">
        <v>6.4563850841082839</v>
      </c>
    </row>
    <row r="34" spans="1:14" x14ac:dyDescent="0.2">
      <c r="A34" s="97"/>
      <c r="B34" s="10" t="str">
        <f>VLOOKUP("&lt;Zeilentitel_2.19&gt;",Uebersetzungen!$B$3:$E$193,Uebersetzungen!$B$2+1,FALSE)</f>
        <v>Aargau</v>
      </c>
      <c r="C34" s="43">
        <v>540387.99999999744</v>
      </c>
      <c r="D34" s="54">
        <v>0.38992522308551691</v>
      </c>
      <c r="E34" s="55">
        <v>86349.237074188874</v>
      </c>
      <c r="F34" s="44">
        <v>2.6526353313210032</v>
      </c>
      <c r="G34" s="55">
        <v>188265.18300533266</v>
      </c>
      <c r="H34" s="54">
        <v>1.5579090476594979</v>
      </c>
      <c r="I34" s="45">
        <v>46132.334986501613</v>
      </c>
      <c r="J34" s="54">
        <v>3.7392172331628326</v>
      </c>
      <c r="K34" s="55">
        <v>112841.36654836169</v>
      </c>
      <c r="L34" s="44">
        <v>2.1427742674647807</v>
      </c>
      <c r="M34" s="55">
        <v>106799.87838561257</v>
      </c>
      <c r="N34" s="60">
        <v>2.2480325599904094</v>
      </c>
    </row>
    <row r="35" spans="1:14" x14ac:dyDescent="0.2">
      <c r="A35" s="97"/>
      <c r="B35" s="10" t="str">
        <f>VLOOKUP("&lt;Zeilentitel_2.20&gt;",Uebersetzungen!$B$3:$E$193,Uebersetzungen!$B$2+1,FALSE)</f>
        <v>Thurgau</v>
      </c>
      <c r="C35" s="43">
        <v>220081.00000000029</v>
      </c>
      <c r="D35" s="54">
        <v>0.89420811093421515</v>
      </c>
      <c r="E35" s="55">
        <v>33095.47865977943</v>
      </c>
      <c r="F35" s="44">
        <v>6.1581656256891462</v>
      </c>
      <c r="G35" s="55">
        <v>81188.665261492555</v>
      </c>
      <c r="H35" s="54">
        <v>3.3774033716232972</v>
      </c>
      <c r="I35" s="45">
        <v>20614.503245891348</v>
      </c>
      <c r="J35" s="54">
        <v>8.0793285719032326</v>
      </c>
      <c r="K35" s="55">
        <v>47923.731454387656</v>
      </c>
      <c r="L35" s="44">
        <v>4.7538579787125741</v>
      </c>
      <c r="M35" s="55">
        <v>37258.62137844933</v>
      </c>
      <c r="N35" s="60">
        <v>5.6222350755622275</v>
      </c>
    </row>
    <row r="36" spans="1:14" x14ac:dyDescent="0.2">
      <c r="A36" s="97"/>
      <c r="B36" s="10" t="str">
        <f>VLOOKUP("&lt;Zeilentitel_2.21&gt;",Uebersetzungen!$B$3:$E$193,Uebersetzungen!$B$2+1,FALSE)</f>
        <v>Ticino</v>
      </c>
      <c r="C36" s="43">
        <v>271810.00000000128</v>
      </c>
      <c r="D36" s="54">
        <v>0.53897625349843836</v>
      </c>
      <c r="E36" s="55">
        <v>49852.253912398381</v>
      </c>
      <c r="F36" s="44">
        <v>3.3677342627834239</v>
      </c>
      <c r="G36" s="55">
        <v>68656.703575138992</v>
      </c>
      <c r="H36" s="54">
        <v>2.7548255710482206</v>
      </c>
      <c r="I36" s="45">
        <v>56660.621639300443</v>
      </c>
      <c r="J36" s="54">
        <v>3.1148394160620159</v>
      </c>
      <c r="K36" s="55">
        <v>30819.000036032528</v>
      </c>
      <c r="L36" s="44">
        <v>4.3725595113758393</v>
      </c>
      <c r="M36" s="55">
        <v>65821.420837130892</v>
      </c>
      <c r="N36" s="60">
        <v>2.8447686555899261</v>
      </c>
    </row>
    <row r="37" spans="1:14" x14ac:dyDescent="0.2">
      <c r="A37" s="97"/>
      <c r="B37" s="10" t="str">
        <f>VLOOKUP("&lt;Zeilentitel_2.22&gt;",Uebersetzungen!$B$3:$E$193,Uebersetzungen!$B$2+1,FALSE)</f>
        <v>Vaud</v>
      </c>
      <c r="C37" s="43">
        <v>603847.99999999523</v>
      </c>
      <c r="D37" s="54">
        <v>0.39269394773548266</v>
      </c>
      <c r="E37" s="55">
        <v>111832.7545515043</v>
      </c>
      <c r="F37" s="44">
        <v>2.3322393116090359</v>
      </c>
      <c r="G37" s="55">
        <v>171919.15351023726</v>
      </c>
      <c r="H37" s="54">
        <v>1.698466005993833</v>
      </c>
      <c r="I37" s="45">
        <v>58018.71084562422</v>
      </c>
      <c r="J37" s="54">
        <v>3.3102940782701191</v>
      </c>
      <c r="K37" s="55">
        <v>57326.960001478277</v>
      </c>
      <c r="L37" s="44">
        <v>3.2102665908861439</v>
      </c>
      <c r="M37" s="55">
        <v>204750.42109115116</v>
      </c>
      <c r="N37" s="60">
        <v>1.5123472769051518</v>
      </c>
    </row>
    <row r="38" spans="1:14" x14ac:dyDescent="0.2">
      <c r="A38" s="97"/>
      <c r="B38" s="10" t="str">
        <f>VLOOKUP("&lt;Zeilentitel_2.23&gt;",Uebersetzungen!$B$3:$E$193,Uebersetzungen!$B$2+1,FALSE)</f>
        <v>Wallis</v>
      </c>
      <c r="C38" s="43">
        <v>275107.99999999913</v>
      </c>
      <c r="D38" s="54">
        <v>0.78525485333771017</v>
      </c>
      <c r="E38" s="55">
        <v>56744.652736272859</v>
      </c>
      <c r="F38" s="44">
        <v>4.6093833290274837</v>
      </c>
      <c r="G38" s="55">
        <v>97808.897553232542</v>
      </c>
      <c r="H38" s="54">
        <v>3.0989695949670364</v>
      </c>
      <c r="I38" s="45">
        <v>27506.198987815416</v>
      </c>
      <c r="J38" s="54">
        <v>6.891599547551003</v>
      </c>
      <c r="K38" s="55">
        <v>32424.035177530903</v>
      </c>
      <c r="L38" s="44">
        <v>6.072862573580335</v>
      </c>
      <c r="M38" s="55">
        <v>60624.21554514741</v>
      </c>
      <c r="N38" s="60">
        <v>4.3239016301402273</v>
      </c>
    </row>
    <row r="39" spans="1:14" x14ac:dyDescent="0.2">
      <c r="A39" s="97"/>
      <c r="B39" s="10" t="str">
        <f>VLOOKUP("&lt;Zeilentitel_2.24&gt;",Uebersetzungen!$B$3:$E$193,Uebersetzungen!$B$2+1,FALSE)</f>
        <v>Neuchâtel</v>
      </c>
      <c r="C39" s="43">
        <v>129957.00000000121</v>
      </c>
      <c r="D39" s="54">
        <v>0.81910448254905976</v>
      </c>
      <c r="E39" s="55">
        <v>27270.445980843797</v>
      </c>
      <c r="F39" s="44">
        <v>4.5447114324197866</v>
      </c>
      <c r="G39" s="55">
        <v>42710.985068019472</v>
      </c>
      <c r="H39" s="54">
        <v>3.3101687944542051</v>
      </c>
      <c r="I39" s="45">
        <v>12572.565607983306</v>
      </c>
      <c r="J39" s="54">
        <v>6.9980684125418451</v>
      </c>
      <c r="K39" s="55">
        <v>14265.136715017046</v>
      </c>
      <c r="L39" s="44">
        <v>6.358461527708827</v>
      </c>
      <c r="M39" s="55">
        <v>33137.866628137592</v>
      </c>
      <c r="N39" s="60">
        <v>3.9197618851985045</v>
      </c>
    </row>
    <row r="40" spans="1:14" x14ac:dyDescent="0.2">
      <c r="A40" s="97"/>
      <c r="B40" s="10" t="str">
        <f>VLOOKUP("&lt;Zeilentitel_2.25&gt;",Uebersetzungen!$B$3:$E$193,Uebersetzungen!$B$2+1,FALSE)</f>
        <v>Genève</v>
      </c>
      <c r="C40" s="43">
        <v>351603.00000000367</v>
      </c>
      <c r="D40" s="54">
        <v>0.56453418233193775</v>
      </c>
      <c r="E40" s="55">
        <v>70537.264463142667</v>
      </c>
      <c r="F40" s="44">
        <v>3.0830870859469819</v>
      </c>
      <c r="G40" s="55">
        <v>75707.741627100098</v>
      </c>
      <c r="H40" s="54">
        <v>2.776599256045424</v>
      </c>
      <c r="I40" s="45">
        <v>38423.225404868484</v>
      </c>
      <c r="J40" s="54">
        <v>4.2104944968289351</v>
      </c>
      <c r="K40" s="55">
        <v>27317.121232501569</v>
      </c>
      <c r="L40" s="44">
        <v>4.8888144311517765</v>
      </c>
      <c r="M40" s="55">
        <v>139617.64727239084</v>
      </c>
      <c r="N40" s="60">
        <v>1.850972947428672</v>
      </c>
    </row>
    <row r="41" spans="1:14" ht="13.5" thickBot="1" x14ac:dyDescent="0.25">
      <c r="A41" s="98"/>
      <c r="B41" s="13" t="str">
        <f>VLOOKUP("&lt;Zeilentitel_2.26&gt;",Uebersetzungen!$B$3:$E$193,Uebersetzungen!$B$2+1,FALSE)</f>
        <v>Jura</v>
      </c>
      <c r="C41" s="49">
        <v>54273.999999999636</v>
      </c>
      <c r="D41" s="56">
        <v>1.7596715248440791</v>
      </c>
      <c r="E41" s="57">
        <v>11435.719775895013</v>
      </c>
      <c r="F41" s="50">
        <v>9.7083668983978235</v>
      </c>
      <c r="G41" s="57">
        <v>23514.563508514973</v>
      </c>
      <c r="H41" s="56">
        <v>5.8708408786566695</v>
      </c>
      <c r="I41" s="51">
        <v>4213.4024343041237</v>
      </c>
      <c r="J41" s="56">
        <v>17.048648527538948</v>
      </c>
      <c r="K41" s="57">
        <v>5766.857077438528</v>
      </c>
      <c r="L41" s="50">
        <v>14.068865543576122</v>
      </c>
      <c r="M41" s="57">
        <v>9343.4572038469905</v>
      </c>
      <c r="N41" s="61">
        <v>10.694614661446197</v>
      </c>
    </row>
    <row r="42" spans="1:14" x14ac:dyDescent="0.2">
      <c r="F42" s="5"/>
    </row>
    <row r="43" spans="1:14" s="1" customFormat="1" x14ac:dyDescent="0.2">
      <c r="A43" s="6" t="str">
        <f>VLOOKUP("&lt;Legende_1&gt;",Uebersetzungen!$B$3:$E$193,Uebersetzungen!$B$2+1,FALSE)</f>
        <v>(): Extrapolation aufgrund von 49 oder weniger Beobachtungen. Die Resultate sind mit grosser Vorsicht zu interpretieren.</v>
      </c>
      <c r="D43" s="2"/>
      <c r="E43" s="7"/>
      <c r="F43" s="7"/>
      <c r="G43" s="4"/>
      <c r="H43" s="4"/>
    </row>
    <row r="44" spans="1:14" s="1" customFormat="1" x14ac:dyDescent="0.2">
      <c r="A44" s="6" t="str">
        <f>VLOOKUP("&lt;Legende_2&gt;",Uebersetzungen!$B$3:$E$193,Uebersetzungen!$B$2+1,FALSE)</f>
        <v>X: Extrapolation aufgrund von 4 oder weniger Beobachtungen. Die Resultate werden aus Gründen des Datenschutzes nicht publiziert.</v>
      </c>
      <c r="D44" s="2"/>
      <c r="E44" s="7"/>
      <c r="F44" s="7"/>
      <c r="G44" s="4"/>
      <c r="H44" s="4"/>
    </row>
    <row r="45" spans="1:14" s="1" customFormat="1" x14ac:dyDescent="0.2">
      <c r="A45" s="6" t="str">
        <f>VLOOKUP("&lt;Legende_3&gt;",Uebersetzungen!$B$3:$E$193,Uebersetzungen!$B$2+1,FALSE)</f>
        <v>Die Grundgesamtheit der Strukturerhebung enthält alle Personen der ständigen Wohnbevölkerung ab vollendetem 15. Altersjahr, die in Privathaushalten leben.</v>
      </c>
      <c r="D45" s="2"/>
      <c r="E45" s="7"/>
      <c r="F45" s="7"/>
      <c r="G45" s="4"/>
      <c r="H45" s="4"/>
    </row>
    <row r="46" spans="1:14" s="1" customFormat="1" x14ac:dyDescent="0.2">
      <c r="A46" s="6" t="str">
        <f>VLOOKUP("&lt;Legende_4&gt;",Uebersetzungen!$B$3:$E$193,Uebersetzungen!$B$2+1,FALSE)</f>
        <v>Aus der Grundgesamtheit ausgeschlossen wurden neben den Personen, die in Kollektivhaushalten leben, auch Diplomaten, internationale Funktionäre und deren Angehörige.</v>
      </c>
      <c r="D46" s="2"/>
      <c r="E46" s="7"/>
      <c r="F46" s="7"/>
      <c r="G46" s="4"/>
      <c r="H46" s="4"/>
    </row>
    <row r="47" spans="1:14" s="1" customFormat="1" x14ac:dyDescent="0.2">
      <c r="A47" s="6"/>
      <c r="D47" s="2"/>
      <c r="E47" s="7"/>
      <c r="F47" s="7"/>
      <c r="G47" s="4"/>
      <c r="H47" s="4"/>
    </row>
    <row r="48" spans="1:14" s="1" customFormat="1" x14ac:dyDescent="0.2">
      <c r="A48" s="6" t="str">
        <f>VLOOKUP("&lt;Quelle_1&gt;",Uebersetzungen!$B$3:$E$193,Uebersetzungen!$B$2+1,FALSE)</f>
        <v>Quelle: BFS (Strukturerhebung)</v>
      </c>
      <c r="D48" s="2"/>
      <c r="E48" s="7"/>
      <c r="F48" s="7"/>
      <c r="G48" s="4"/>
      <c r="H48" s="4"/>
    </row>
    <row r="49" spans="1:1" x14ac:dyDescent="0.2">
      <c r="A49" s="6" t="str">
        <f>VLOOKUP("&lt;aktualisierung&gt;",Uebersetzungen!$B$3:$E$193,Uebersetzungen!$B$2+1,FALSE)</f>
        <v>Letztmals aktualisiert am: 29.01.2026</v>
      </c>
    </row>
    <row r="50" spans="1:1" x14ac:dyDescent="0.2">
      <c r="A50" s="6"/>
    </row>
    <row r="51" spans="1:1" x14ac:dyDescent="0.2">
      <c r="A51" s="6"/>
    </row>
  </sheetData>
  <sheetProtection sheet="1" objects="1" scenarios="1"/>
  <mergeCells count="11">
    <mergeCell ref="A7:B7"/>
    <mergeCell ref="A16:A41"/>
    <mergeCell ref="I13:J13"/>
    <mergeCell ref="K13:L13"/>
    <mergeCell ref="M13:N13"/>
    <mergeCell ref="A13:B14"/>
    <mergeCell ref="A15:B15"/>
    <mergeCell ref="C13:D13"/>
    <mergeCell ref="E13:F13"/>
    <mergeCell ref="G13:H13"/>
    <mergeCell ref="C12:N12"/>
  </mergeCells>
  <pageMargins left="0.78740157480314965" right="0.78740157480314965" top="0.98425196850393704" bottom="0.98425196850393704" header="0.51181102362204722" footer="0.51181102362204722"/>
  <pageSetup scale="76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390525</xdr:colOff>
                    <xdr:row>1</xdr:row>
                    <xdr:rowOff>104775</xdr:rowOff>
                  </from>
                  <to>
                    <xdr:col>8</xdr:col>
                    <xdr:colOff>123825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390525</xdr:colOff>
                    <xdr:row>2</xdr:row>
                    <xdr:rowOff>95250</xdr:rowOff>
                  </from>
                  <to>
                    <xdr:col>8</xdr:col>
                    <xdr:colOff>561975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390525</xdr:colOff>
                    <xdr:row>3</xdr:row>
                    <xdr:rowOff>57150</xdr:rowOff>
                  </from>
                  <to>
                    <xdr:col>8</xdr:col>
                    <xdr:colOff>123825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/>
  <dimension ref="A1:N52"/>
  <sheetViews>
    <sheetView showGridLines="0" zoomScaleNormal="100" workbookViewId="0"/>
  </sheetViews>
  <sheetFormatPr baseColWidth="10" defaultRowHeight="12.75" x14ac:dyDescent="0.2"/>
  <cols>
    <col min="1" max="1" width="15.375" style="8" customWidth="1"/>
    <col min="2" max="2" width="33.625" style="8" bestFit="1" customWidth="1"/>
    <col min="3" max="14" width="12.125" style="8" customWidth="1"/>
    <col min="15" max="16384" width="11" style="8"/>
  </cols>
  <sheetData>
    <row r="1" spans="1:14" s="11" customFormat="1" x14ac:dyDescent="0.2"/>
    <row r="2" spans="1:14" s="11" customFormat="1" ht="15.75" x14ac:dyDescent="0.25">
      <c r="B2" s="20"/>
      <c r="C2" s="21"/>
      <c r="D2" s="21"/>
    </row>
    <row r="3" spans="1:14" s="11" customFormat="1" ht="15.75" x14ac:dyDescent="0.25">
      <c r="B3" s="20"/>
      <c r="C3" s="21"/>
      <c r="D3" s="21"/>
    </row>
    <row r="4" spans="1:14" s="11" customFormat="1" ht="15.75" x14ac:dyDescent="0.25">
      <c r="B4" s="20"/>
      <c r="C4" s="21"/>
      <c r="D4" s="21"/>
    </row>
    <row r="5" spans="1:14" s="11" customFormat="1" x14ac:dyDescent="0.2"/>
    <row r="6" spans="1:14" s="11" customFormat="1" x14ac:dyDescent="0.2"/>
    <row r="7" spans="1:14" s="11" customFormat="1" ht="15.75" customHeight="1" x14ac:dyDescent="0.2">
      <c r="A7" s="96" t="str">
        <f>VLOOKUP("&lt;Fachbereich&gt;",Uebersetzungen!$B$3:$E$194,Uebersetzungen!$B$2+1,FALSE)</f>
        <v>Daten &amp; Statistik</v>
      </c>
      <c r="B7" s="96"/>
      <c r="C7" s="22"/>
      <c r="D7" s="22"/>
      <c r="E7" s="22"/>
      <c r="F7" s="22"/>
      <c r="G7" s="22"/>
      <c r="H7" s="22"/>
    </row>
    <row r="8" spans="1:14" s="11" customFormat="1" x14ac:dyDescent="0.2"/>
    <row r="9" spans="1:14" s="26" customFormat="1" ht="18" x14ac:dyDescent="0.2">
      <c r="A9" s="23" t="str">
        <f>VLOOKUP("&lt;T2Titel&gt;",Uebersetzungen!$B$3:$E$199,Uebersetzungen!$B$2+1,FALSE)</f>
        <v>Höchste abgeschlossene Ausbildung im Kanton Graubünden</v>
      </c>
      <c r="B9" s="24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6" customFormat="1" ht="15" x14ac:dyDescent="0.2">
      <c r="A10" s="27" t="str">
        <f>VLOOKUP("&lt;UTitel&gt;",Uebersetzungen!$B$3:$E$199,Uebersetzungen!$B$2+1,FALSE)</f>
        <v>Ständige Wohnbevölkerung ab 25 Jahren</v>
      </c>
      <c r="B10" s="24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6" customFormat="1" ht="15.75" thickBot="1" x14ac:dyDescent="0.25">
      <c r="A11" s="27"/>
      <c r="B11" s="24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3" customFormat="1" ht="18" x14ac:dyDescent="0.25">
      <c r="C12" s="112">
        <v>2024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</row>
    <row r="13" spans="1:14" s="3" customFormat="1" ht="50.25" customHeight="1" x14ac:dyDescent="0.2">
      <c r="A13" s="30"/>
      <c r="B13" s="30"/>
      <c r="C13" s="109" t="str">
        <f>VLOOKUP("&lt;SpaltenTitel_1&gt;",Uebersetzungen!$B$3:$E$200,Uebersetzungen!$B$2+1,FALSE)</f>
        <v>Total</v>
      </c>
      <c r="D13" s="110"/>
      <c r="E13" s="110" t="str">
        <f>VLOOKUP("&lt;SpaltenTitel_2&gt;",Uebersetzungen!$B$3:$E$200,Uebersetzungen!$B$2+1,FALSE)</f>
        <v>Ohne nachobligatorische Ausbildung</v>
      </c>
      <c r="F13" s="110"/>
      <c r="G13" s="110" t="str">
        <f>VLOOKUP("&lt;SpaltenTitel_3&gt;",Uebersetzungen!$B$3:$E$200,Uebersetzungen!$B$2+1,FALSE)</f>
        <v>Sekundarstufe II: Berufsbildung</v>
      </c>
      <c r="H13" s="110"/>
      <c r="I13" s="110" t="str">
        <f>VLOOKUP("&lt;SpaltenTitel_4&gt;",Uebersetzungen!$B$3:$E$200,Uebersetzungen!$B$2+1,FALSE)</f>
        <v>Sekundarstufe II: Allgemeinbildung</v>
      </c>
      <c r="J13" s="110"/>
      <c r="K13" s="110" t="str">
        <f>VLOOKUP("&lt;SpaltenTitel_5&gt;",Uebersetzungen!$B$3:$E$200,Uebersetzungen!$B$2+1,FALSE)</f>
        <v>Tertiärstufe: höhere Berufsbildung</v>
      </c>
      <c r="L13" s="110"/>
      <c r="M13" s="110" t="str">
        <f>VLOOKUP("&lt;SpaltenTitel_6&gt;",Uebersetzungen!$B$3:$E$200,Uebersetzungen!$B$2+1,FALSE)</f>
        <v>Tertiärstufe: Hochschulen</v>
      </c>
      <c r="N13" s="111"/>
    </row>
    <row r="14" spans="1:14" ht="39" thickBot="1" x14ac:dyDescent="0.25">
      <c r="A14" s="30"/>
      <c r="B14" s="30"/>
      <c r="C14" s="85" t="str">
        <f>VLOOKUP("&lt;SpaltenTitel_1.1&gt;",Uebersetzungen!$B$3:$E$200,Uebersetzungen!$B$2+1,FALSE)</f>
        <v>Anzahl Personen</v>
      </c>
      <c r="D14" s="86" t="str">
        <f>VLOOKUP("&lt;SpaltenTitel_1.2&gt;",Uebersetzungen!$B$3:$E$200,Uebersetzungen!$B$2+1,FALSE)</f>
        <v>Vertrauens- intervall:          ± (in %)</v>
      </c>
      <c r="E14" s="87" t="str">
        <f>VLOOKUP("&lt;SpaltenTitel_1.1&gt;",Uebersetzungen!$B$3:$E$200,Uebersetzungen!$B$2+1,FALSE)</f>
        <v>Anzahl Personen</v>
      </c>
      <c r="F14" s="88" t="str">
        <f>VLOOKUP("&lt;SpaltenTitel_1.2&gt;",Uebersetzungen!$B$3:$E$200,Uebersetzungen!$B$2+1,FALSE)</f>
        <v>Vertrauens- intervall:          ± (in %)</v>
      </c>
      <c r="G14" s="87" t="str">
        <f>VLOOKUP("&lt;SpaltenTitel_1.1&gt;",Uebersetzungen!$B$3:$E$200,Uebersetzungen!$B$2+1,FALSE)</f>
        <v>Anzahl Personen</v>
      </c>
      <c r="H14" s="86" t="str">
        <f>VLOOKUP("&lt;SpaltenTitel_1.2&gt;",Uebersetzungen!$B$3:$E$200,Uebersetzungen!$B$2+1,FALSE)</f>
        <v>Vertrauens- intervall:          ± (in %)</v>
      </c>
      <c r="I14" s="89" t="str">
        <f>VLOOKUP("&lt;SpaltenTitel_1.1&gt;",Uebersetzungen!$B$3:$E$200,Uebersetzungen!$B$2+1,FALSE)</f>
        <v>Anzahl Personen</v>
      </c>
      <c r="J14" s="86" t="str">
        <f>VLOOKUP("&lt;SpaltenTitel_1.2&gt;",Uebersetzungen!$B$3:$E$200,Uebersetzungen!$B$2+1,FALSE)</f>
        <v>Vertrauens- intervall:          ± (in %)</v>
      </c>
      <c r="K14" s="87" t="str">
        <f>VLOOKUP("&lt;SpaltenTitel_1.1&gt;",Uebersetzungen!$B$3:$E$200,Uebersetzungen!$B$2+1,FALSE)</f>
        <v>Anzahl Personen</v>
      </c>
      <c r="L14" s="88" t="str">
        <f>VLOOKUP("&lt;SpaltenTitel_1.2&gt;",Uebersetzungen!$B$3:$E$200,Uebersetzungen!$B$2+1,FALSE)</f>
        <v>Vertrauens- intervall:          ± (in %)</v>
      </c>
      <c r="M14" s="87" t="str">
        <f>VLOOKUP("&lt;SpaltenTitel_1.1&gt;",Uebersetzungen!$B$3:$E$200,Uebersetzungen!$B$2+1,FALSE)</f>
        <v>Anzahl Personen</v>
      </c>
      <c r="N14" s="90" t="str">
        <f>VLOOKUP("&lt;SpaltenTitel_1.2&gt;",Uebersetzungen!$B$3:$E$200,Uebersetzungen!$B$2+1,FALSE)</f>
        <v>Vertrauens- intervall:          ± (in %)</v>
      </c>
    </row>
    <row r="15" spans="1:14" s="12" customFormat="1" x14ac:dyDescent="0.2">
      <c r="A15" s="108" t="str">
        <f>VLOOKUP("&lt;T2Zeilentitel_1&gt;",Uebersetzungen!$B$3:$E$199,Uebersetzungen!$B$2+1,FALSE)</f>
        <v>Total</v>
      </c>
      <c r="B15" s="108"/>
      <c r="C15" s="40">
        <v>157268.99999999601</v>
      </c>
      <c r="D15" s="52">
        <v>1.0120029508205433</v>
      </c>
      <c r="E15" s="53">
        <v>24604.670187843749</v>
      </c>
      <c r="F15" s="41">
        <v>7.0526404259950057</v>
      </c>
      <c r="G15" s="53">
        <v>56629.017590547708</v>
      </c>
      <c r="H15" s="52">
        <v>4.0066818287827122</v>
      </c>
      <c r="I15" s="42">
        <v>16435.365699150141</v>
      </c>
      <c r="J15" s="52">
        <v>8.867353695783903</v>
      </c>
      <c r="K15" s="53">
        <v>32548.950735427046</v>
      </c>
      <c r="L15" s="41">
        <v>5.7366753957079721</v>
      </c>
      <c r="M15" s="53">
        <v>27050.995787027401</v>
      </c>
      <c r="N15" s="59">
        <v>6.456385084108283</v>
      </c>
    </row>
    <row r="16" spans="1:14" x14ac:dyDescent="0.2">
      <c r="A16" s="104" t="str">
        <f>VLOOKUP("&lt;T2Zeilentitel_2&gt;",Uebersetzungen!$B$3:$E$199,Uebersetzungen!$B$2+1,FALSE)</f>
        <v>Geschlecht</v>
      </c>
      <c r="B16" s="32" t="str">
        <f>VLOOKUP("&lt;T2Zeilentitel_2.1&gt;",Uebersetzungen!$B$3:$E$199,Uebersetzungen!$B$2+1,FALSE)</f>
        <v>Männer</v>
      </c>
      <c r="C16" s="75">
        <v>78608.999999997293</v>
      </c>
      <c r="D16" s="76">
        <v>3.1804178620856005</v>
      </c>
      <c r="E16" s="77">
        <v>10349.123485785391</v>
      </c>
      <c r="F16" s="78">
        <v>11.701641991154887</v>
      </c>
      <c r="G16" s="77">
        <v>27468.819490783797</v>
      </c>
      <c r="H16" s="76">
        <v>6.4931330607487245</v>
      </c>
      <c r="I16" s="79">
        <v>7028.1278120520947</v>
      </c>
      <c r="J16" s="76">
        <v>14.582297453478645</v>
      </c>
      <c r="K16" s="77">
        <v>18451.732155829501</v>
      </c>
      <c r="L16" s="78">
        <v>8.0579356824282407</v>
      </c>
      <c r="M16" s="77">
        <v>15311.197055546516</v>
      </c>
      <c r="N16" s="80">
        <v>8.9958496370412142</v>
      </c>
    </row>
    <row r="17" spans="1:14" ht="15.75" customHeight="1" x14ac:dyDescent="0.2">
      <c r="A17" s="105"/>
      <c r="B17" s="10" t="str">
        <f>VLOOKUP("&lt;T2Zeilentitel_2.2&gt;",Uebersetzungen!$B$3:$E$199,Uebersetzungen!$B$2+1,FALSE)</f>
        <v>Frauen</v>
      </c>
      <c r="C17" s="81">
        <v>78659.999999998734</v>
      </c>
      <c r="D17" s="82">
        <v>3.0220533489596959</v>
      </c>
      <c r="E17" s="83">
        <v>14255.546702058358</v>
      </c>
      <c r="F17" s="69">
        <v>9.3277256942808791</v>
      </c>
      <c r="G17" s="83">
        <v>29160.198099763908</v>
      </c>
      <c r="H17" s="82">
        <v>6.1158428392670077</v>
      </c>
      <c r="I17" s="68">
        <v>9407.2378870980465</v>
      </c>
      <c r="J17" s="82">
        <v>11.516823231039405</v>
      </c>
      <c r="K17" s="83">
        <v>14097.218579597544</v>
      </c>
      <c r="L17" s="69">
        <v>9.1668795957110589</v>
      </c>
      <c r="M17" s="83">
        <v>11739.798731480883</v>
      </c>
      <c r="N17" s="84">
        <v>10.170041753312884</v>
      </c>
    </row>
    <row r="18" spans="1:14" x14ac:dyDescent="0.2">
      <c r="A18" s="103" t="str">
        <f>VLOOKUP("&lt;T2Zeilentitel_3&gt;",Uebersetzungen!$B$3:$E$199,Uebersetzungen!$B$2+1,FALSE)</f>
        <v>Alter</v>
      </c>
      <c r="B18" s="32" t="str">
        <f>VLOOKUP("&lt;T2Zeilentitel_3.1&gt;",Uebersetzungen!$B$3:$E$199,Uebersetzungen!$B$2+1,FALSE)</f>
        <v>25-44</v>
      </c>
      <c r="C18" s="43">
        <v>51762.999999998603</v>
      </c>
      <c r="D18" s="54">
        <v>4.5313758844237251</v>
      </c>
      <c r="E18" s="55">
        <v>5185.7209561530126</v>
      </c>
      <c r="F18" s="44">
        <v>17.671370294912862</v>
      </c>
      <c r="G18" s="55">
        <v>17098.102630283625</v>
      </c>
      <c r="H18" s="54">
        <v>8.7887995226441866</v>
      </c>
      <c r="I18" s="45">
        <v>5970.2557570022427</v>
      </c>
      <c r="J18" s="54">
        <v>15.971961457307197</v>
      </c>
      <c r="K18" s="55">
        <v>10834.005592202466</v>
      </c>
      <c r="L18" s="44">
        <v>10.972280248250616</v>
      </c>
      <c r="M18" s="55">
        <v>12674.915064357261</v>
      </c>
      <c r="N18" s="60">
        <v>10.078015432749776</v>
      </c>
    </row>
    <row r="19" spans="1:14" x14ac:dyDescent="0.2">
      <c r="A19" s="103"/>
      <c r="B19" s="10" t="str">
        <f>VLOOKUP("&lt;T2Zeilentitel_3.2&gt;",Uebersetzungen!$B$3:$E$199,Uebersetzungen!$B$2+1,FALSE)</f>
        <v>45-64</v>
      </c>
      <c r="C19" s="43">
        <v>59050.999999998654</v>
      </c>
      <c r="D19" s="54">
        <v>3.886206988336117</v>
      </c>
      <c r="E19" s="55">
        <v>8367.5233550130997</v>
      </c>
      <c r="F19" s="44">
        <v>12.791464740729506</v>
      </c>
      <c r="G19" s="55">
        <v>22487.740598773387</v>
      </c>
      <c r="H19" s="54">
        <v>7.1655590729406091</v>
      </c>
      <c r="I19" s="45">
        <v>5670.9141963539696</v>
      </c>
      <c r="J19" s="54">
        <v>15.311143669064972</v>
      </c>
      <c r="K19" s="55">
        <v>12806.837203086394</v>
      </c>
      <c r="L19" s="44">
        <v>9.7364075569450392</v>
      </c>
      <c r="M19" s="55">
        <v>9717.9846467717944</v>
      </c>
      <c r="N19" s="60">
        <v>11.275659957728623</v>
      </c>
    </row>
    <row r="20" spans="1:14" x14ac:dyDescent="0.2">
      <c r="A20" s="103"/>
      <c r="B20" s="10" t="str">
        <f>VLOOKUP("&lt;T2Zeilentitel_3.3&gt;",Uebersetzungen!$B$3:$E$199,Uebersetzungen!$B$2+1,FALSE)</f>
        <v>65 und mehr</v>
      </c>
      <c r="C20" s="43">
        <v>46454.999999998807</v>
      </c>
      <c r="D20" s="54">
        <v>4.4091517919039482</v>
      </c>
      <c r="E20" s="55">
        <v>11051.425876677657</v>
      </c>
      <c r="F20" s="44">
        <v>10.390123115822934</v>
      </c>
      <c r="G20" s="55">
        <v>17043.174361490692</v>
      </c>
      <c r="H20" s="54">
        <v>8.0837446005919134</v>
      </c>
      <c r="I20" s="45">
        <v>4794.1957457939352</v>
      </c>
      <c r="J20" s="54">
        <v>16.11126005585977</v>
      </c>
      <c r="K20" s="55">
        <v>8908.1079401381758</v>
      </c>
      <c r="L20" s="44">
        <v>11.491424720062184</v>
      </c>
      <c r="M20" s="55">
        <v>4658.0960758983456</v>
      </c>
      <c r="N20" s="60">
        <v>16.101946175427898</v>
      </c>
    </row>
    <row r="21" spans="1:14" x14ac:dyDescent="0.2">
      <c r="A21" s="104" t="str">
        <f>VLOOKUP("&lt;T2Zeilentitel_4&gt;",Uebersetzungen!$B$3:$E$199,Uebersetzungen!$B$2+1,FALSE)</f>
        <v>Staatsangehörigkeit</v>
      </c>
      <c r="B21" s="32" t="str">
        <f>VLOOKUP("&lt;T2Zeilentitel_4.1&gt;",Uebersetzungen!$B$3:$E$199,Uebersetzungen!$B$2+1,FALSE)</f>
        <v>Schweiz</v>
      </c>
      <c r="C21" s="75">
        <v>124452.11140462531</v>
      </c>
      <c r="D21" s="76">
        <v>1.6846233781738795</v>
      </c>
      <c r="E21" s="77">
        <v>14665.026323527996</v>
      </c>
      <c r="F21" s="78">
        <v>8.9755274288373617</v>
      </c>
      <c r="G21" s="77">
        <v>49702.849991612216</v>
      </c>
      <c r="H21" s="76">
        <v>4.3171163584536263</v>
      </c>
      <c r="I21" s="79">
        <v>10709.704160107542</v>
      </c>
      <c r="J21" s="76">
        <v>10.693571885144014</v>
      </c>
      <c r="K21" s="77">
        <v>29029.937851228693</v>
      </c>
      <c r="L21" s="78">
        <v>6.0766282451731106</v>
      </c>
      <c r="M21" s="77">
        <v>20344.593078148853</v>
      </c>
      <c r="N21" s="80">
        <v>7.4465525323986519</v>
      </c>
    </row>
    <row r="22" spans="1:14" x14ac:dyDescent="0.2">
      <c r="A22" s="103"/>
      <c r="B22" s="10" t="str">
        <f>VLOOKUP("&lt;T2Zeilentitel_4.2&gt;",Uebersetzungen!$B$3:$E$199,Uebersetzungen!$B$2+1,FALSE)</f>
        <v>EU und EFTA</v>
      </c>
      <c r="C22" s="43">
        <v>25807.742512574354</v>
      </c>
      <c r="D22" s="54">
        <v>7.2131898020251617</v>
      </c>
      <c r="E22" s="55">
        <v>7207.2258271845712</v>
      </c>
      <c r="F22" s="44">
        <v>14.492506131577802</v>
      </c>
      <c r="G22" s="55">
        <v>5466.2548639475353</v>
      </c>
      <c r="H22" s="54">
        <v>16.472477285756895</v>
      </c>
      <c r="I22" s="45">
        <v>5055.4911692762089</v>
      </c>
      <c r="J22" s="54">
        <v>17.546620284367521</v>
      </c>
      <c r="K22" s="55">
        <v>3117.0077770390176</v>
      </c>
      <c r="L22" s="44">
        <v>21.804860194518124</v>
      </c>
      <c r="M22" s="55">
        <v>4961.7628751270222</v>
      </c>
      <c r="N22" s="60">
        <v>17.006190533137126</v>
      </c>
    </row>
    <row r="23" spans="1:14" x14ac:dyDescent="0.2">
      <c r="A23" s="103"/>
      <c r="B23" s="10" t="str">
        <f>VLOOKUP("&lt;T2Zeilentitel_4.3&gt;",Uebersetzungen!$B$3:$E$199,Uebersetzungen!$B$2+1,FALSE)</f>
        <v>Anderer europäischer Staat</v>
      </c>
      <c r="C23" s="43">
        <v>3951.1231277248362</v>
      </c>
      <c r="D23" s="54">
        <v>20.598346059499455</v>
      </c>
      <c r="E23" s="72">
        <v>1130.8346906525651</v>
      </c>
      <c r="F23" s="47">
        <v>38.270374575737854</v>
      </c>
      <c r="G23" s="73">
        <v>838.00594901697104</v>
      </c>
      <c r="H23" s="58">
        <v>46.111552745755311</v>
      </c>
      <c r="I23" s="48">
        <v>566.88374298898475</v>
      </c>
      <c r="J23" s="58">
        <v>58.58886239993317</v>
      </c>
      <c r="K23" s="55" t="s">
        <v>313</v>
      </c>
      <c r="L23" s="44" t="s">
        <v>313</v>
      </c>
      <c r="M23" s="72">
        <v>1266.3946399263459</v>
      </c>
      <c r="N23" s="74">
        <v>34.960969993117438</v>
      </c>
    </row>
    <row r="24" spans="1:14" ht="15" customHeight="1" x14ac:dyDescent="0.2">
      <c r="A24" s="103"/>
      <c r="B24" s="10" t="str">
        <f>VLOOKUP("&lt;T2Zeilentitel_4.4&gt;",Uebersetzungen!$B$3:$E$199,Uebersetzungen!$B$2+1,FALSE)</f>
        <v>Aussereuropäischer Staat</v>
      </c>
      <c r="C24" s="43">
        <v>3058.0229550715426</v>
      </c>
      <c r="D24" s="54">
        <v>22.88732230293181</v>
      </c>
      <c r="E24" s="72">
        <v>1601.5833464786385</v>
      </c>
      <c r="F24" s="47">
        <v>31.454051299200479</v>
      </c>
      <c r="G24" s="73">
        <v>621.9067859709487</v>
      </c>
      <c r="H24" s="58">
        <v>55.306609672838718</v>
      </c>
      <c r="I24" s="45" t="s">
        <v>313</v>
      </c>
      <c r="J24" s="54" t="s">
        <v>313</v>
      </c>
      <c r="K24" s="73">
        <v>253.00100201936746</v>
      </c>
      <c r="L24" s="47">
        <v>80.234988478392907</v>
      </c>
      <c r="M24" s="73">
        <v>478.24519382517974</v>
      </c>
      <c r="N24" s="74">
        <v>54.484926144698633</v>
      </c>
    </row>
    <row r="25" spans="1:14" x14ac:dyDescent="0.2">
      <c r="A25" s="105"/>
      <c r="B25" s="10" t="str">
        <f>VLOOKUP("&lt;T2Zeilentitel_4.5&gt;",Uebersetzungen!$B$3:$E$199,Uebersetzungen!$B$2+1,FALSE)</f>
        <v>Staatsangehörigkeit unbekannt</v>
      </c>
      <c r="C25" s="81" t="s">
        <v>313</v>
      </c>
      <c r="D25" s="82" t="s">
        <v>313</v>
      </c>
      <c r="E25" s="83" t="s">
        <v>313</v>
      </c>
      <c r="F25" s="69" t="s">
        <v>313</v>
      </c>
      <c r="G25" s="83" t="s">
        <v>313</v>
      </c>
      <c r="H25" s="82" t="s">
        <v>313</v>
      </c>
      <c r="I25" s="68" t="s">
        <v>313</v>
      </c>
      <c r="J25" s="82" t="s">
        <v>313</v>
      </c>
      <c r="K25" s="83" t="s">
        <v>313</v>
      </c>
      <c r="L25" s="69" t="s">
        <v>313</v>
      </c>
      <c r="M25" s="83" t="s">
        <v>313</v>
      </c>
      <c r="N25" s="84" t="s">
        <v>313</v>
      </c>
    </row>
    <row r="26" spans="1:14" x14ac:dyDescent="0.2">
      <c r="A26" s="103" t="str">
        <f>VLOOKUP("&lt;T2Zeilentitel_5&gt;",Uebersetzungen!$B$3:$E$199,Uebersetzungen!$B$2+1,FALSE)</f>
        <v>Migrationsstatus</v>
      </c>
      <c r="B26" s="32" t="str">
        <f>VLOOKUP("&lt;T2Zeilentitel_5.1&gt;",Uebersetzungen!$B$3:$E$199,Uebersetzungen!$B$2+1,FALSE)</f>
        <v>Schweizer/innen ohne Migrationshintergrund</v>
      </c>
      <c r="C26" s="43">
        <v>108311.45763836917</v>
      </c>
      <c r="D26" s="54">
        <v>2.0981416687892085</v>
      </c>
      <c r="E26" s="55">
        <v>11283.419245350007</v>
      </c>
      <c r="F26" s="44">
        <v>10.355553699771002</v>
      </c>
      <c r="G26" s="55">
        <v>44976.798849731036</v>
      </c>
      <c r="H26" s="54">
        <v>4.6247564378239705</v>
      </c>
      <c r="I26" s="45">
        <v>8932.57742440519</v>
      </c>
      <c r="J26" s="54">
        <v>11.770848272423892</v>
      </c>
      <c r="K26" s="55">
        <v>26482.097298635566</v>
      </c>
      <c r="L26" s="44">
        <v>6.4240053230889194</v>
      </c>
      <c r="M26" s="55">
        <v>16636.564820247389</v>
      </c>
      <c r="N26" s="60">
        <v>8.3492642913811768</v>
      </c>
    </row>
    <row r="27" spans="1:14" x14ac:dyDescent="0.2">
      <c r="A27" s="103"/>
      <c r="B27" s="10" t="str">
        <f>VLOOKUP("&lt;T2Zeilentitel_5.2&gt;",Uebersetzungen!$B$3:$E$199,Uebersetzungen!$B$2+1,FALSE)</f>
        <v>Schweizer/innen mit Migrationshintergrund</v>
      </c>
      <c r="C27" s="43">
        <v>15705.879862100013</v>
      </c>
      <c r="D27" s="54">
        <v>8.6247513277369752</v>
      </c>
      <c r="E27" s="55">
        <v>3219.8305644461561</v>
      </c>
      <c r="F27" s="44">
        <v>19.77417416393212</v>
      </c>
      <c r="G27" s="55">
        <v>4486.3186737433416</v>
      </c>
      <c r="H27" s="54">
        <v>16.835238392482456</v>
      </c>
      <c r="I27" s="45">
        <v>1777.1267357023487</v>
      </c>
      <c r="J27" s="54">
        <v>26.993568178078</v>
      </c>
      <c r="K27" s="55">
        <v>2547.8405525931462</v>
      </c>
      <c r="L27" s="44">
        <v>22.200692611689337</v>
      </c>
      <c r="M27" s="55">
        <v>3674.7633356150209</v>
      </c>
      <c r="N27" s="60">
        <v>18.360889761943298</v>
      </c>
    </row>
    <row r="28" spans="1:14" x14ac:dyDescent="0.2">
      <c r="A28" s="103"/>
      <c r="B28" s="10" t="str">
        <f>VLOOKUP("&lt;T2Zeilentitel_5.3&gt;",Uebersetzungen!$B$3:$E$199,Uebersetzungen!$B$2+1,FALSE)</f>
        <v>Ausländer/innen der ersten Generation</v>
      </c>
      <c r="C28" s="43">
        <v>31811.594420253132</v>
      </c>
      <c r="D28" s="54">
        <v>6.4664801084449355</v>
      </c>
      <c r="E28" s="55">
        <v>9761.2841950223301</v>
      </c>
      <c r="F28" s="44">
        <v>12.452639850106891</v>
      </c>
      <c r="G28" s="55">
        <v>6422.3302822090709</v>
      </c>
      <c r="H28" s="54">
        <v>15.539542818316196</v>
      </c>
      <c r="I28" s="45">
        <v>5627.5923624518573</v>
      </c>
      <c r="J28" s="54">
        <v>16.80238576103708</v>
      </c>
      <c r="K28" s="55">
        <v>3293.9848716913257</v>
      </c>
      <c r="L28" s="44">
        <v>21.44477974645806</v>
      </c>
      <c r="M28" s="55">
        <v>6706.4027088785479</v>
      </c>
      <c r="N28" s="60">
        <v>14.624284887571466</v>
      </c>
    </row>
    <row r="29" spans="1:14" ht="12.75" customHeight="1" x14ac:dyDescent="0.2">
      <c r="A29" s="103"/>
      <c r="B29" s="10" t="str">
        <f>VLOOKUP("&lt;T2Zeilentitel_5.4&gt;",Uebersetzungen!$B$3:$E$199,Uebersetzungen!$B$2+1,FALSE)</f>
        <v>Ausländer/innen der zweiten und höheren Generation</v>
      </c>
      <c r="C29" s="70">
        <v>1005.2941751175997</v>
      </c>
      <c r="D29" s="58">
        <v>37.499348298342426</v>
      </c>
      <c r="E29" s="73">
        <v>178.35966929344301</v>
      </c>
      <c r="F29" s="47">
        <v>87.924306756067011</v>
      </c>
      <c r="G29" s="73">
        <v>503.83731672638413</v>
      </c>
      <c r="H29" s="58">
        <v>54.141080635208148</v>
      </c>
      <c r="I29" s="45" t="s">
        <v>313</v>
      </c>
      <c r="J29" s="54" t="s">
        <v>313</v>
      </c>
      <c r="K29" s="73">
        <v>225.02801250702822</v>
      </c>
      <c r="L29" s="47">
        <v>79.00908842275912</v>
      </c>
      <c r="M29" s="55" t="s">
        <v>313</v>
      </c>
      <c r="N29" s="60" t="s">
        <v>313</v>
      </c>
    </row>
    <row r="30" spans="1:14" x14ac:dyDescent="0.2">
      <c r="A30" s="103"/>
      <c r="B30" s="10" t="str">
        <f>VLOOKUP("&lt;T2Zeilentitel_5.5&gt;",Uebersetzungen!$B$3:$E$199,Uebersetzungen!$B$2+1,FALSE)</f>
        <v>Migrationshintergrund unbekannt</v>
      </c>
      <c r="C30" s="71">
        <v>434.77390415606891</v>
      </c>
      <c r="D30" s="58">
        <v>54.048578305722529</v>
      </c>
      <c r="E30" s="73">
        <v>161.77651373183224</v>
      </c>
      <c r="F30" s="47">
        <v>88.432733622501075</v>
      </c>
      <c r="G30" s="73">
        <v>239.73246813779912</v>
      </c>
      <c r="H30" s="58">
        <v>73.087378257145929</v>
      </c>
      <c r="I30" s="45" t="s">
        <v>313</v>
      </c>
      <c r="J30" s="54" t="s">
        <v>313</v>
      </c>
      <c r="K30" s="55" t="s">
        <v>313</v>
      </c>
      <c r="L30" s="44" t="s">
        <v>313</v>
      </c>
      <c r="M30" s="55" t="s">
        <v>313</v>
      </c>
      <c r="N30" s="60" t="s">
        <v>313</v>
      </c>
    </row>
    <row r="31" spans="1:14" x14ac:dyDescent="0.2">
      <c r="A31" s="104" t="str">
        <f>VLOOKUP("&lt;T2Zeilentitel_6&gt;",Uebersetzungen!$B$3:$E$199,Uebersetzungen!$B$2+1,FALSE)</f>
        <v>Arbeitsmarktstatus</v>
      </c>
      <c r="B31" s="32" t="str">
        <f>VLOOKUP("&lt;T2Zeilentitel_6.1&gt;",Uebersetzungen!$B$3:$E$199,Uebersetzungen!$B$2+1,FALSE)</f>
        <v>Erwerbstätige</v>
      </c>
      <c r="C31" s="75">
        <v>100341.81006531083</v>
      </c>
      <c r="D31" s="76">
        <v>2.4881904688687486</v>
      </c>
      <c r="E31" s="77">
        <v>10386.083000077058</v>
      </c>
      <c r="F31" s="78">
        <v>11.770176028370219</v>
      </c>
      <c r="G31" s="77">
        <v>36365.352394770285</v>
      </c>
      <c r="H31" s="76">
        <v>5.493631708732285</v>
      </c>
      <c r="I31" s="79">
        <v>10431.592409305607</v>
      </c>
      <c r="J31" s="76">
        <v>11.572420207056162</v>
      </c>
      <c r="K31" s="77">
        <v>23003.357741580716</v>
      </c>
      <c r="L31" s="78">
        <v>7.110994186783282</v>
      </c>
      <c r="M31" s="77">
        <v>20155.424519577151</v>
      </c>
      <c r="N31" s="80">
        <v>7.6341497411188968</v>
      </c>
    </row>
    <row r="32" spans="1:14" x14ac:dyDescent="0.2">
      <c r="A32" s="103"/>
      <c r="B32" s="10" t="str">
        <f>VLOOKUP("&lt;T2Zeilentitel_6.2&gt;",Uebersetzungen!$B$3:$E$199,Uebersetzungen!$B$2+1,FALSE)</f>
        <v>Erwerbslose</v>
      </c>
      <c r="C32" s="43">
        <v>2099.6454044228617</v>
      </c>
      <c r="D32" s="54">
        <v>26.334265753688449</v>
      </c>
      <c r="E32" s="73">
        <v>446.24267510331123</v>
      </c>
      <c r="F32" s="47">
        <v>59.906757799808183</v>
      </c>
      <c r="G32" s="73">
        <v>555.62764242021819</v>
      </c>
      <c r="H32" s="58">
        <v>50.059430719066022</v>
      </c>
      <c r="I32" s="48">
        <v>430.04598498619441</v>
      </c>
      <c r="J32" s="58">
        <v>59.087806060061659</v>
      </c>
      <c r="K32" s="73">
        <v>304.05605840804157</v>
      </c>
      <c r="L32" s="47">
        <v>68.58487109129041</v>
      </c>
      <c r="M32" s="73">
        <v>363.67304350509636</v>
      </c>
      <c r="N32" s="74">
        <v>62.392706834697606</v>
      </c>
    </row>
    <row r="33" spans="1:14" x14ac:dyDescent="0.2">
      <c r="A33" s="105"/>
      <c r="B33" s="33" t="str">
        <f>VLOOKUP("&lt;T2Zeilentitel_6.3&gt;",Uebersetzungen!$B$3:$E$199,Uebersetzungen!$B$2+1,FALSE)</f>
        <v>Nichterwerbspersonen</v>
      </c>
      <c r="C33" s="81">
        <v>54827.544530262341</v>
      </c>
      <c r="D33" s="82">
        <v>4.0053586465808007</v>
      </c>
      <c r="E33" s="83">
        <v>13772.344512663391</v>
      </c>
      <c r="F33" s="69">
        <v>9.4066648882282085</v>
      </c>
      <c r="G33" s="83">
        <v>19708.037553357182</v>
      </c>
      <c r="H33" s="82">
        <v>7.5476876914025013</v>
      </c>
      <c r="I33" s="68">
        <v>5573.7273048583356</v>
      </c>
      <c r="J33" s="82">
        <v>15.017312328105879</v>
      </c>
      <c r="K33" s="83">
        <v>9241.5369354382892</v>
      </c>
      <c r="L33" s="69">
        <v>11.370772498342321</v>
      </c>
      <c r="M33" s="83">
        <v>6531.8982239451461</v>
      </c>
      <c r="N33" s="84">
        <v>14.076551168221386</v>
      </c>
    </row>
    <row r="34" spans="1:14" x14ac:dyDescent="0.2">
      <c r="A34" s="106" t="str">
        <f>VLOOKUP("&lt;T2Zeilentitel_7&gt;",Uebersetzungen!$B$3:$E$199,Uebersetzungen!$B$2+1,FALSE)</f>
        <v>Sozioprofessionelle Kategorien</v>
      </c>
      <c r="B34" s="32" t="str">
        <f>VLOOKUP("&lt;T2Zeilentitel_7.1&gt;",Uebersetzungen!$B$3:$E$199,Uebersetzungen!$B$2+1,FALSE)</f>
        <v>Oberstes Management</v>
      </c>
      <c r="C34" s="43">
        <v>2591.8218815840164</v>
      </c>
      <c r="D34" s="54">
        <v>22.096779166267041</v>
      </c>
      <c r="E34" s="55" t="s">
        <v>313</v>
      </c>
      <c r="F34" s="44" t="s">
        <v>313</v>
      </c>
      <c r="G34" s="73">
        <v>352.75876815188929</v>
      </c>
      <c r="H34" s="58">
        <v>61.401505340928118</v>
      </c>
      <c r="I34" s="48">
        <v>273.57693882965265</v>
      </c>
      <c r="J34" s="58">
        <v>68.619224529764267</v>
      </c>
      <c r="K34" s="73">
        <v>830.07856131217363</v>
      </c>
      <c r="L34" s="47">
        <v>38.648341174029056</v>
      </c>
      <c r="M34" s="72">
        <v>1032.3041822118657</v>
      </c>
      <c r="N34" s="74">
        <v>35.366825982630878</v>
      </c>
    </row>
    <row r="35" spans="1:14" ht="15" customHeight="1" x14ac:dyDescent="0.2">
      <c r="A35" s="106"/>
      <c r="B35" s="10" t="str">
        <f>VLOOKUP("&lt;T2Zeilentitel_7.2&gt;",Uebersetzungen!$B$3:$E$199,Uebersetzungen!$B$2+1,FALSE)</f>
        <v>Freie und gleichgestellte Berufe</v>
      </c>
      <c r="C35" s="43">
        <v>2772.6059416691332</v>
      </c>
      <c r="D35" s="54">
        <v>21.257825256075535</v>
      </c>
      <c r="E35" s="55" t="s">
        <v>313</v>
      </c>
      <c r="F35" s="44" t="s">
        <v>313</v>
      </c>
      <c r="G35" s="55" t="s">
        <v>313</v>
      </c>
      <c r="H35" s="54" t="s">
        <v>313</v>
      </c>
      <c r="I35" s="45" t="s">
        <v>313</v>
      </c>
      <c r="J35" s="54" t="s">
        <v>313</v>
      </c>
      <c r="K35" s="55" t="s">
        <v>313</v>
      </c>
      <c r="L35" s="44" t="s">
        <v>313</v>
      </c>
      <c r="M35" s="55">
        <v>2772.6059416691332</v>
      </c>
      <c r="N35" s="60">
        <v>21.257825256075535</v>
      </c>
    </row>
    <row r="36" spans="1:14" x14ac:dyDescent="0.2">
      <c r="A36" s="106"/>
      <c r="B36" s="10" t="str">
        <f>VLOOKUP("&lt;T2Zeilentitel_7.3&gt;",Uebersetzungen!$B$3:$E$199,Uebersetzungen!$B$2+1,FALSE)</f>
        <v>Andere Selbstständige</v>
      </c>
      <c r="C36" s="43">
        <v>13282.043963284852</v>
      </c>
      <c r="D36" s="54">
        <v>9.6948237222716127</v>
      </c>
      <c r="E36" s="72">
        <v>1289.5112583528</v>
      </c>
      <c r="F36" s="47">
        <v>32.301015921749475</v>
      </c>
      <c r="G36" s="55">
        <v>5109.9794082440276</v>
      </c>
      <c r="H36" s="54">
        <v>16.137960302351015</v>
      </c>
      <c r="I36" s="46">
        <v>1434.8364868436684</v>
      </c>
      <c r="J36" s="58">
        <v>31.058376105199866</v>
      </c>
      <c r="K36" s="55">
        <v>4936.0584186282613</v>
      </c>
      <c r="L36" s="44">
        <v>16.045398826645656</v>
      </c>
      <c r="M36" s="73">
        <v>511.65839121609525</v>
      </c>
      <c r="N36" s="74">
        <v>52.103573834296562</v>
      </c>
    </row>
    <row r="37" spans="1:14" x14ac:dyDescent="0.2">
      <c r="A37" s="106"/>
      <c r="B37" s="10" t="str">
        <f>VLOOKUP("&lt;T2Zeilentitel_7.4&gt;",Uebersetzungen!$B$3:$E$199,Uebersetzungen!$B$2+1,FALSE)</f>
        <v>Akademische Berufe und oberes Kader</v>
      </c>
      <c r="C37" s="43">
        <v>15926.878401327813</v>
      </c>
      <c r="D37" s="54">
        <v>8.6716253231443812</v>
      </c>
      <c r="E37" s="73">
        <v>316.97185652890784</v>
      </c>
      <c r="F37" s="47">
        <v>68.783741918597514</v>
      </c>
      <c r="G37" s="72">
        <v>1052.6739376803523</v>
      </c>
      <c r="H37" s="58">
        <v>35.455148273572483</v>
      </c>
      <c r="I37" s="48">
        <v>637.83217090144365</v>
      </c>
      <c r="J37" s="58">
        <v>46.034927683870613</v>
      </c>
      <c r="K37" s="55">
        <v>2057.2060617839352</v>
      </c>
      <c r="L37" s="44">
        <v>24.752293159016727</v>
      </c>
      <c r="M37" s="55">
        <v>11862.194374433175</v>
      </c>
      <c r="N37" s="60">
        <v>10.17321986621374</v>
      </c>
    </row>
    <row r="38" spans="1:14" x14ac:dyDescent="0.2">
      <c r="A38" s="106"/>
      <c r="B38" s="10" t="str">
        <f>VLOOKUP("&lt;T2Zeilentitel_7.5&gt;",Uebersetzungen!$B$3:$E$199,Uebersetzungen!$B$2+1,FALSE)</f>
        <v>Intermediäre Berufe</v>
      </c>
      <c r="C38" s="43">
        <v>29260.343146287858</v>
      </c>
      <c r="D38" s="54">
        <v>6.3224141905906741</v>
      </c>
      <c r="E38" s="72">
        <v>1582.7952109669775</v>
      </c>
      <c r="F38" s="47">
        <v>30.846001222718822</v>
      </c>
      <c r="G38" s="55">
        <v>5551.4728743780479</v>
      </c>
      <c r="H38" s="54">
        <v>15.624909584009536</v>
      </c>
      <c r="I38" s="45">
        <v>3310.6311524328444</v>
      </c>
      <c r="J38" s="54">
        <v>20.751076560463822</v>
      </c>
      <c r="K38" s="55">
        <v>15009.822563990692</v>
      </c>
      <c r="L38" s="44">
        <v>9.1159199256712942</v>
      </c>
      <c r="M38" s="55">
        <v>3805.6213445192952</v>
      </c>
      <c r="N38" s="60">
        <v>18.963331404387088</v>
      </c>
    </row>
    <row r="39" spans="1:14" x14ac:dyDescent="0.2">
      <c r="A39" s="106"/>
      <c r="B39" s="10" t="str">
        <f>VLOOKUP("&lt;T2Zeilentitel_7.6&gt;",Uebersetzungen!$B$3:$E$199,Uebersetzungen!$B$2+1,FALSE)</f>
        <v>Qualifizierte nichtmanuelle Berufe</v>
      </c>
      <c r="C39" s="43">
        <v>21091.145084609965</v>
      </c>
      <c r="D39" s="54">
        <v>7.5222939564706346</v>
      </c>
      <c r="E39" s="73">
        <v>473.99646210091026</v>
      </c>
      <c r="F39" s="47">
        <v>53.710581446640383</v>
      </c>
      <c r="G39" s="55">
        <v>17375.915264248641</v>
      </c>
      <c r="H39" s="54">
        <v>8.3257917313519059</v>
      </c>
      <c r="I39" s="45">
        <v>3241.2333582604142</v>
      </c>
      <c r="J39" s="54">
        <v>20.914492435092257</v>
      </c>
      <c r="K39" s="55" t="s">
        <v>313</v>
      </c>
      <c r="L39" s="44" t="s">
        <v>313</v>
      </c>
      <c r="M39" s="55" t="s">
        <v>313</v>
      </c>
      <c r="N39" s="60" t="s">
        <v>313</v>
      </c>
    </row>
    <row r="40" spans="1:14" x14ac:dyDescent="0.2">
      <c r="A40" s="106"/>
      <c r="B40" s="10" t="str">
        <f>VLOOKUP("&lt;T2Zeilentitel_7.7&gt;",Uebersetzungen!$B$3:$E$199,Uebersetzungen!$B$2+1,FALSE)</f>
        <v>Qualifizierte manuelle Berufe</v>
      </c>
      <c r="C40" s="43">
        <v>8343.7695964442464</v>
      </c>
      <c r="D40" s="54">
        <v>13.221659114436756</v>
      </c>
      <c r="E40" s="73">
        <v>638.5239120002442</v>
      </c>
      <c r="F40" s="47">
        <v>50.715166699786927</v>
      </c>
      <c r="G40" s="55">
        <v>6389.0099105676936</v>
      </c>
      <c r="H40" s="54">
        <v>14.791648186410267</v>
      </c>
      <c r="I40" s="46">
        <v>1316.2357738763085</v>
      </c>
      <c r="J40" s="58">
        <v>37.161134088653853</v>
      </c>
      <c r="K40" s="55" t="s">
        <v>313</v>
      </c>
      <c r="L40" s="44" t="s">
        <v>313</v>
      </c>
      <c r="M40" s="55" t="s">
        <v>313</v>
      </c>
      <c r="N40" s="60" t="s">
        <v>313</v>
      </c>
    </row>
    <row r="41" spans="1:14" x14ac:dyDescent="0.2">
      <c r="A41" s="106"/>
      <c r="B41" s="10" t="str">
        <f>VLOOKUP("&lt;T2Zeilentitel_7.8&gt;",Uebersetzungen!$B$3:$E$199,Uebersetzungen!$B$2+1,FALSE)</f>
        <v>Ungelernte Angestellte und Arbeiter/innen</v>
      </c>
      <c r="C41" s="43">
        <v>5586.8244234614622</v>
      </c>
      <c r="D41" s="54">
        <v>16.470080582235305</v>
      </c>
      <c r="E41" s="55">
        <v>5586.8244234614622</v>
      </c>
      <c r="F41" s="44">
        <v>16.470080582235305</v>
      </c>
      <c r="G41" s="55" t="s">
        <v>313</v>
      </c>
      <c r="H41" s="54" t="s">
        <v>313</v>
      </c>
      <c r="I41" s="45" t="s">
        <v>313</v>
      </c>
      <c r="J41" s="54" t="s">
        <v>313</v>
      </c>
      <c r="K41" s="55" t="s">
        <v>313</v>
      </c>
      <c r="L41" s="44" t="s">
        <v>313</v>
      </c>
      <c r="M41" s="55" t="s">
        <v>313</v>
      </c>
      <c r="N41" s="60" t="s">
        <v>313</v>
      </c>
    </row>
    <row r="42" spans="1:14" ht="12.75" customHeight="1" x14ac:dyDescent="0.2">
      <c r="A42" s="106"/>
      <c r="B42" s="10" t="str">
        <f>VLOOKUP("&lt;T2Zeilentitel_7.9&gt;",Uebersetzungen!$B$3:$E$199,Uebersetzungen!$B$2+1,FALSE)</f>
        <v>Lernende in dualer beruflicher Grundbildung (Lehrlinge)</v>
      </c>
      <c r="C42" s="71">
        <v>220.06222391779622</v>
      </c>
      <c r="D42" s="58">
        <v>87.874470785197872</v>
      </c>
      <c r="E42" s="55" t="s">
        <v>313</v>
      </c>
      <c r="F42" s="44" t="s">
        <v>313</v>
      </c>
      <c r="G42" s="73">
        <v>220.06222391779622</v>
      </c>
      <c r="H42" s="58">
        <v>87.874470785197872</v>
      </c>
      <c r="I42" s="45" t="s">
        <v>313</v>
      </c>
      <c r="J42" s="54" t="s">
        <v>313</v>
      </c>
      <c r="K42" s="55" t="s">
        <v>313</v>
      </c>
      <c r="L42" s="44" t="s">
        <v>313</v>
      </c>
      <c r="M42" s="55" t="s">
        <v>313</v>
      </c>
      <c r="N42" s="60" t="s">
        <v>313</v>
      </c>
    </row>
    <row r="43" spans="1:14" ht="25.5" x14ac:dyDescent="0.2">
      <c r="A43" s="106"/>
      <c r="B43" s="10" t="str">
        <f>VLOOKUP("&lt;T2Zeilentitel_7.10&gt;",Uebersetzungen!$B$3:$E$199,Uebersetzungen!$B$2+1,FALSE)</f>
        <v>Nicht zuteilbare Erwerbstätige (fehlende oder unklare Basisdaten)</v>
      </c>
      <c r="C43" s="70">
        <v>1266.3154027237053</v>
      </c>
      <c r="D43" s="58">
        <v>33.43505492525324</v>
      </c>
      <c r="E43" s="73">
        <v>394.35644558732827</v>
      </c>
      <c r="F43" s="47">
        <v>61.935111306292718</v>
      </c>
      <c r="G43" s="73">
        <v>313.48000758184241</v>
      </c>
      <c r="H43" s="58">
        <v>69.19626768297006</v>
      </c>
      <c r="I43" s="48">
        <v>217.24652816128165</v>
      </c>
      <c r="J43" s="58">
        <v>78.948850829744401</v>
      </c>
      <c r="K43" s="73">
        <v>170.19213586565112</v>
      </c>
      <c r="L43" s="47">
        <v>87.193085031988119</v>
      </c>
      <c r="M43" s="73">
        <v>171.04028552760209</v>
      </c>
      <c r="N43" s="74">
        <v>86.832621688198358</v>
      </c>
    </row>
    <row r="44" spans="1:14" ht="13.5" thickBot="1" x14ac:dyDescent="0.25">
      <c r="A44" s="107"/>
      <c r="B44" s="13" t="str">
        <f>VLOOKUP("&lt;T2Zeilentitel_7.11&gt;",Uebersetzungen!$B$3:$E$199,Uebersetzungen!$B$2+1,FALSE)</f>
        <v>Erwerbslose und Nichterwerbspersonen</v>
      </c>
      <c r="C44" s="49">
        <v>56927.189934685215</v>
      </c>
      <c r="D44" s="56">
        <v>3.9097965345628225</v>
      </c>
      <c r="E44" s="57">
        <v>14218.587187766701</v>
      </c>
      <c r="F44" s="50">
        <v>9.2786168874492478</v>
      </c>
      <c r="G44" s="57">
        <v>20263.665195777405</v>
      </c>
      <c r="H44" s="56">
        <v>7.4408594846298532</v>
      </c>
      <c r="I44" s="51">
        <v>6003.7732898445302</v>
      </c>
      <c r="J44" s="56">
        <v>14.535301569715116</v>
      </c>
      <c r="K44" s="57">
        <v>9545.5929938463323</v>
      </c>
      <c r="L44" s="50">
        <v>11.202420413360173</v>
      </c>
      <c r="M44" s="57">
        <v>6895.5712674502429</v>
      </c>
      <c r="N44" s="61">
        <v>13.706595124027526</v>
      </c>
    </row>
    <row r="45" spans="1: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4" x14ac:dyDescent="0.2">
      <c r="A46" s="6" t="s">
        <v>30</v>
      </c>
      <c r="B46" s="9"/>
      <c r="C46" s="9"/>
      <c r="D46" s="9"/>
      <c r="E46" s="9"/>
      <c r="F46" s="9"/>
      <c r="G46" s="9"/>
      <c r="H46" s="9"/>
      <c r="I46" s="9"/>
      <c r="J46" s="9"/>
    </row>
    <row r="47" spans="1:14" x14ac:dyDescent="0.2">
      <c r="A47" s="6" t="s">
        <v>31</v>
      </c>
      <c r="B47" s="9"/>
      <c r="C47" s="9"/>
      <c r="D47" s="9"/>
      <c r="E47" s="9"/>
      <c r="F47" s="9"/>
      <c r="G47" s="9"/>
      <c r="H47" s="9"/>
      <c r="I47" s="9"/>
      <c r="J47" s="9"/>
    </row>
    <row r="48" spans="1:14" x14ac:dyDescent="0.2">
      <c r="A48" s="6" t="s">
        <v>32</v>
      </c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">
      <c r="A49" s="6" t="s">
        <v>33</v>
      </c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">
      <c r="A50" s="6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">
      <c r="A51" s="6" t="s">
        <v>68</v>
      </c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">
      <c r="A52" s="9" t="str">
        <f>VLOOKUP("&lt;aktualisierung&gt;",Uebersetzungen!$B$3:$E$193,Uebersetzungen!$B$2+1,FALSE)</f>
        <v>Letztmals aktualisiert am: 29.01.2026</v>
      </c>
      <c r="B52" s="9"/>
      <c r="C52" s="9"/>
      <c r="D52" s="9"/>
      <c r="E52" s="9"/>
      <c r="F52" s="9"/>
      <c r="G52" s="9"/>
      <c r="H52" s="9"/>
      <c r="I52" s="9"/>
      <c r="J52" s="9"/>
    </row>
  </sheetData>
  <sheetProtection sheet="1" objects="1" scenarios="1"/>
  <mergeCells count="15">
    <mergeCell ref="A7:B7"/>
    <mergeCell ref="I13:J13"/>
    <mergeCell ref="K13:L13"/>
    <mergeCell ref="M13:N13"/>
    <mergeCell ref="C12:N12"/>
    <mergeCell ref="A15:B15"/>
    <mergeCell ref="C13:D13"/>
    <mergeCell ref="E13:F13"/>
    <mergeCell ref="G13:H13"/>
    <mergeCell ref="A16:A17"/>
    <mergeCell ref="A18:A20"/>
    <mergeCell ref="A21:A25"/>
    <mergeCell ref="A26:A30"/>
    <mergeCell ref="A31:A33"/>
    <mergeCell ref="A34:A44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1</xdr:row>
                    <xdr:rowOff>114300</xdr:rowOff>
                  </from>
                  <to>
                    <xdr:col>5</xdr:col>
                    <xdr:colOff>371475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114300</xdr:colOff>
                    <xdr:row>2</xdr:row>
                    <xdr:rowOff>104775</xdr:rowOff>
                  </from>
                  <to>
                    <xdr:col>5</xdr:col>
                    <xdr:colOff>771525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114300</xdr:colOff>
                    <xdr:row>3</xdr:row>
                    <xdr:rowOff>66675</xdr:rowOff>
                  </from>
                  <to>
                    <xdr:col>5</xdr:col>
                    <xdr:colOff>371475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topLeftCell="A34" workbookViewId="0">
      <selection activeCell="G52" sqref="G52"/>
    </sheetView>
  </sheetViews>
  <sheetFormatPr baseColWidth="10" defaultColWidth="11" defaultRowHeight="12.75" x14ac:dyDescent="0.2"/>
  <cols>
    <col min="1" max="1" width="8.625" style="16" customWidth="1"/>
    <col min="2" max="2" width="26.25" style="16" customWidth="1"/>
    <col min="3" max="5" width="41.375" style="16" customWidth="1"/>
    <col min="6" max="6" width="19.625" style="16" customWidth="1"/>
    <col min="7" max="8" width="11" style="16"/>
    <col min="9" max="9" width="33" style="16" customWidth="1"/>
    <col min="10" max="16384" width="11" style="16"/>
  </cols>
  <sheetData>
    <row r="1" spans="1:6" x14ac:dyDescent="0.2">
      <c r="A1" s="14" t="s">
        <v>73</v>
      </c>
      <c r="B1" s="14" t="s">
        <v>74</v>
      </c>
      <c r="C1" s="14" t="s">
        <v>75</v>
      </c>
      <c r="D1" s="14" t="s">
        <v>76</v>
      </c>
      <c r="E1" s="14" t="s">
        <v>77</v>
      </c>
      <c r="F1" s="15"/>
    </row>
    <row r="2" spans="1:6" x14ac:dyDescent="0.2">
      <c r="A2" s="17" t="s">
        <v>78</v>
      </c>
      <c r="B2" s="18">
        <v>1</v>
      </c>
      <c r="C2" s="18"/>
      <c r="D2" s="18"/>
      <c r="E2" s="18"/>
      <c r="F2" s="15"/>
    </row>
    <row r="3" spans="1:6" x14ac:dyDescent="0.2">
      <c r="A3" s="17"/>
      <c r="B3" s="16" t="s">
        <v>79</v>
      </c>
      <c r="C3" s="16" t="s">
        <v>80</v>
      </c>
      <c r="D3" s="16" t="s">
        <v>81</v>
      </c>
      <c r="E3" s="16" t="s">
        <v>82</v>
      </c>
      <c r="F3" s="15"/>
    </row>
    <row r="4" spans="1:6" x14ac:dyDescent="0.2">
      <c r="A4" s="17" t="s">
        <v>83</v>
      </c>
      <c r="B4" s="16" t="s">
        <v>84</v>
      </c>
      <c r="C4" s="16" t="s">
        <v>274</v>
      </c>
      <c r="D4" s="16" t="s">
        <v>293</v>
      </c>
      <c r="E4" s="16" t="s">
        <v>286</v>
      </c>
      <c r="F4" s="15"/>
    </row>
    <row r="5" spans="1:6" x14ac:dyDescent="0.2">
      <c r="A5" s="17"/>
      <c r="B5" s="16" t="s">
        <v>85</v>
      </c>
      <c r="C5" s="16" t="s">
        <v>72</v>
      </c>
      <c r="D5" s="16" t="s">
        <v>294</v>
      </c>
      <c r="E5" s="16" t="s">
        <v>287</v>
      </c>
      <c r="F5" s="15"/>
    </row>
    <row r="6" spans="1:6" x14ac:dyDescent="0.2">
      <c r="A6" s="17" t="s">
        <v>83</v>
      </c>
      <c r="B6" s="16" t="s">
        <v>86</v>
      </c>
      <c r="C6" s="16" t="s">
        <v>0</v>
      </c>
      <c r="D6" s="16" t="s">
        <v>0</v>
      </c>
      <c r="E6" s="16" t="s">
        <v>87</v>
      </c>
      <c r="F6" s="15"/>
    </row>
    <row r="7" spans="1:6" x14ac:dyDescent="0.2">
      <c r="A7" s="17"/>
      <c r="B7" s="16" t="s">
        <v>88</v>
      </c>
      <c r="C7" s="16" t="s">
        <v>1</v>
      </c>
      <c r="D7" s="16" t="s">
        <v>295</v>
      </c>
      <c r="E7" s="16" t="s">
        <v>271</v>
      </c>
      <c r="F7" s="15"/>
    </row>
    <row r="8" spans="1:6" x14ac:dyDescent="0.2">
      <c r="A8" s="17"/>
      <c r="B8" s="16" t="s">
        <v>89</v>
      </c>
      <c r="C8" s="16" t="s">
        <v>2</v>
      </c>
      <c r="D8" s="16" t="s">
        <v>296</v>
      </c>
      <c r="E8" s="16" t="s">
        <v>288</v>
      </c>
      <c r="F8" s="15"/>
    </row>
    <row r="9" spans="1:6" x14ac:dyDescent="0.2">
      <c r="A9" s="17"/>
      <c r="B9" s="16" t="s">
        <v>92</v>
      </c>
      <c r="C9" s="16" t="s">
        <v>3</v>
      </c>
      <c r="D9" s="16" t="s">
        <v>297</v>
      </c>
      <c r="E9" s="16" t="s">
        <v>289</v>
      </c>
      <c r="F9" s="15"/>
    </row>
    <row r="10" spans="1:6" x14ac:dyDescent="0.2">
      <c r="A10" s="17"/>
      <c r="B10" s="16" t="s">
        <v>93</v>
      </c>
      <c r="C10" s="16" t="s">
        <v>4</v>
      </c>
      <c r="D10" s="16" t="s">
        <v>298</v>
      </c>
      <c r="E10" s="16" t="s">
        <v>290</v>
      </c>
      <c r="F10" s="15"/>
    </row>
    <row r="11" spans="1:6" x14ac:dyDescent="0.2">
      <c r="A11" s="17"/>
      <c r="B11" s="16" t="s">
        <v>94</v>
      </c>
      <c r="C11" s="16" t="s">
        <v>5</v>
      </c>
      <c r="D11" s="16" t="s">
        <v>299</v>
      </c>
      <c r="E11" s="16" t="s">
        <v>291</v>
      </c>
      <c r="F11" s="15"/>
    </row>
    <row r="12" spans="1:6" x14ac:dyDescent="0.2">
      <c r="A12" s="17"/>
      <c r="B12" s="15"/>
      <c r="C12" s="15"/>
      <c r="D12" s="15"/>
      <c r="E12" s="15"/>
      <c r="F12" s="15"/>
    </row>
    <row r="13" spans="1:6" x14ac:dyDescent="0.2">
      <c r="A13" s="17"/>
      <c r="B13" s="16" t="s">
        <v>98</v>
      </c>
      <c r="C13" s="16" t="s">
        <v>6</v>
      </c>
      <c r="D13" s="16" t="s">
        <v>99</v>
      </c>
      <c r="E13" s="16" t="s">
        <v>100</v>
      </c>
      <c r="F13" s="15"/>
    </row>
    <row r="14" spans="1:6" x14ac:dyDescent="0.2">
      <c r="A14" s="17"/>
      <c r="B14" s="16" t="s">
        <v>101</v>
      </c>
      <c r="C14" s="16" t="s">
        <v>102</v>
      </c>
      <c r="D14" s="16" t="s">
        <v>103</v>
      </c>
      <c r="E14" s="16" t="s">
        <v>104</v>
      </c>
      <c r="F14" s="15"/>
    </row>
    <row r="15" spans="1:6" x14ac:dyDescent="0.2">
      <c r="A15" s="17"/>
      <c r="B15" s="15"/>
      <c r="C15" s="15"/>
      <c r="D15" s="15"/>
      <c r="E15" s="15"/>
      <c r="F15" s="15"/>
    </row>
    <row r="16" spans="1:6" x14ac:dyDescent="0.2">
      <c r="A16" s="17" t="s">
        <v>105</v>
      </c>
      <c r="B16" s="16" t="s">
        <v>106</v>
      </c>
      <c r="C16" s="16" t="s">
        <v>0</v>
      </c>
      <c r="D16" s="16" t="s">
        <v>0</v>
      </c>
      <c r="E16" s="16" t="s">
        <v>87</v>
      </c>
      <c r="F16" s="15"/>
    </row>
    <row r="17" spans="1:6" x14ac:dyDescent="0.2">
      <c r="A17" s="15"/>
      <c r="B17" s="16" t="s">
        <v>107</v>
      </c>
      <c r="C17" s="16" t="s">
        <v>7</v>
      </c>
      <c r="D17" s="16" t="s">
        <v>108</v>
      </c>
      <c r="E17" s="16" t="s">
        <v>109</v>
      </c>
      <c r="F17" s="15"/>
    </row>
    <row r="18" spans="1:6" x14ac:dyDescent="0.2">
      <c r="A18" s="17"/>
      <c r="B18" s="15"/>
      <c r="C18" s="15"/>
      <c r="D18" s="15"/>
      <c r="E18" s="15"/>
      <c r="F18" s="15"/>
    </row>
    <row r="19" spans="1:6" x14ac:dyDescent="0.2">
      <c r="A19" s="15"/>
      <c r="B19" s="16" t="s">
        <v>110</v>
      </c>
      <c r="C19" s="16" t="s">
        <v>8</v>
      </c>
      <c r="D19" s="16" t="s">
        <v>111</v>
      </c>
      <c r="E19" s="16" t="s">
        <v>112</v>
      </c>
      <c r="F19" s="15"/>
    </row>
    <row r="20" spans="1:6" x14ac:dyDescent="0.2">
      <c r="A20" s="15"/>
      <c r="B20" s="16" t="s">
        <v>113</v>
      </c>
      <c r="C20" s="16" t="s">
        <v>65</v>
      </c>
      <c r="D20" s="16" t="s">
        <v>114</v>
      </c>
      <c r="E20" s="16" t="s">
        <v>114</v>
      </c>
      <c r="F20" s="15"/>
    </row>
    <row r="21" spans="1:6" x14ac:dyDescent="0.2">
      <c r="A21" s="15"/>
      <c r="B21" s="16" t="s">
        <v>115</v>
      </c>
      <c r="C21" s="16" t="s">
        <v>9</v>
      </c>
      <c r="D21" s="16" t="s">
        <v>116</v>
      </c>
      <c r="E21" s="16" t="s">
        <v>116</v>
      </c>
      <c r="F21" s="15"/>
    </row>
    <row r="22" spans="1:6" x14ac:dyDescent="0.2">
      <c r="A22" s="15"/>
      <c r="B22" s="16" t="s">
        <v>117</v>
      </c>
      <c r="C22" s="16" t="s">
        <v>10</v>
      </c>
      <c r="D22" s="16" t="s">
        <v>10</v>
      </c>
      <c r="E22" s="16" t="s">
        <v>10</v>
      </c>
      <c r="F22" s="15"/>
    </row>
    <row r="23" spans="1:6" x14ac:dyDescent="0.2">
      <c r="A23" s="15"/>
      <c r="B23" s="16" t="s">
        <v>118</v>
      </c>
      <c r="C23" s="16" t="s">
        <v>11</v>
      </c>
      <c r="D23" s="16" t="s">
        <v>119</v>
      </c>
      <c r="E23" s="16" t="s">
        <v>120</v>
      </c>
      <c r="F23" s="15"/>
    </row>
    <row r="24" spans="1:6" x14ac:dyDescent="0.2">
      <c r="A24" s="15"/>
      <c r="B24" s="16" t="s">
        <v>121</v>
      </c>
      <c r="C24" s="16" t="s">
        <v>12</v>
      </c>
      <c r="D24" s="16" t="s">
        <v>122</v>
      </c>
      <c r="E24" s="16" t="s">
        <v>123</v>
      </c>
      <c r="F24" s="15"/>
    </row>
    <row r="25" spans="1:6" x14ac:dyDescent="0.2">
      <c r="A25" s="15"/>
      <c r="B25" s="16" t="s">
        <v>124</v>
      </c>
      <c r="C25" s="16" t="s">
        <v>13</v>
      </c>
      <c r="D25" s="16" t="s">
        <v>125</v>
      </c>
      <c r="E25" s="16" t="s">
        <v>126</v>
      </c>
      <c r="F25" s="15"/>
    </row>
    <row r="26" spans="1:6" x14ac:dyDescent="0.2">
      <c r="A26" s="15"/>
      <c r="B26" s="16" t="s">
        <v>127</v>
      </c>
      <c r="C26" s="16" t="s">
        <v>14</v>
      </c>
      <c r="D26" s="16" t="s">
        <v>128</v>
      </c>
      <c r="E26" s="16" t="s">
        <v>129</v>
      </c>
      <c r="F26" s="15"/>
    </row>
    <row r="27" spans="1:6" x14ac:dyDescent="0.2">
      <c r="A27" s="15"/>
      <c r="B27" s="16" t="s">
        <v>130</v>
      </c>
      <c r="C27" s="16" t="s">
        <v>15</v>
      </c>
      <c r="D27" s="16" t="s">
        <v>15</v>
      </c>
      <c r="E27" s="16" t="s">
        <v>131</v>
      </c>
      <c r="F27" s="15"/>
    </row>
    <row r="28" spans="1:6" x14ac:dyDescent="0.2">
      <c r="A28" s="15"/>
      <c r="B28" s="16" t="s">
        <v>132</v>
      </c>
      <c r="C28" s="16" t="s">
        <v>66</v>
      </c>
      <c r="D28" s="16" t="s">
        <v>133</v>
      </c>
      <c r="E28" s="16" t="s">
        <v>134</v>
      </c>
      <c r="F28" s="15"/>
    </row>
    <row r="29" spans="1:6" x14ac:dyDescent="0.2">
      <c r="A29" s="15"/>
      <c r="B29" s="16" t="s">
        <v>135</v>
      </c>
      <c r="C29" s="16" t="s">
        <v>16</v>
      </c>
      <c r="D29" s="16" t="s">
        <v>136</v>
      </c>
      <c r="E29" s="16" t="s">
        <v>137</v>
      </c>
      <c r="F29" s="15"/>
    </row>
    <row r="30" spans="1:6" x14ac:dyDescent="0.2">
      <c r="A30" s="15"/>
      <c r="B30" s="16" t="s">
        <v>138</v>
      </c>
      <c r="C30" s="16" t="s">
        <v>17</v>
      </c>
      <c r="D30" s="16" t="s">
        <v>139</v>
      </c>
      <c r="E30" s="16" t="s">
        <v>140</v>
      </c>
      <c r="F30" s="15"/>
    </row>
    <row r="31" spans="1:6" x14ac:dyDescent="0.2">
      <c r="A31" s="15"/>
      <c r="B31" s="16" t="s">
        <v>141</v>
      </c>
      <c r="C31" s="16" t="s">
        <v>18</v>
      </c>
      <c r="D31" s="16" t="s">
        <v>142</v>
      </c>
      <c r="E31" s="16" t="s">
        <v>143</v>
      </c>
      <c r="F31" s="15"/>
    </row>
    <row r="32" spans="1:6" x14ac:dyDescent="0.2">
      <c r="A32" s="15"/>
      <c r="B32" s="16" t="s">
        <v>144</v>
      </c>
      <c r="C32" s="16" t="s">
        <v>19</v>
      </c>
      <c r="D32" s="16" t="s">
        <v>145</v>
      </c>
      <c r="E32" s="16" t="s">
        <v>146</v>
      </c>
      <c r="F32" s="15"/>
    </row>
    <row r="33" spans="1:6" x14ac:dyDescent="0.2">
      <c r="A33" s="15"/>
      <c r="B33" s="16" t="s">
        <v>147</v>
      </c>
      <c r="C33" s="16" t="s">
        <v>20</v>
      </c>
      <c r="D33" s="16" t="s">
        <v>148</v>
      </c>
      <c r="E33" s="16" t="s">
        <v>149</v>
      </c>
      <c r="F33" s="15"/>
    </row>
    <row r="34" spans="1:6" x14ac:dyDescent="0.2">
      <c r="A34" s="15"/>
      <c r="B34" s="16" t="s">
        <v>150</v>
      </c>
      <c r="C34" s="16" t="s">
        <v>21</v>
      </c>
      <c r="D34" s="16" t="s">
        <v>151</v>
      </c>
      <c r="E34" s="16" t="s">
        <v>152</v>
      </c>
      <c r="F34" s="15"/>
    </row>
    <row r="35" spans="1:6" x14ac:dyDescent="0.2">
      <c r="A35" s="15"/>
      <c r="B35" s="16" t="s">
        <v>153</v>
      </c>
      <c r="C35" s="16" t="s">
        <v>22</v>
      </c>
      <c r="D35" s="16" t="s">
        <v>154</v>
      </c>
      <c r="E35" s="16" t="s">
        <v>155</v>
      </c>
      <c r="F35" s="15"/>
    </row>
    <row r="36" spans="1:6" x14ac:dyDescent="0.2">
      <c r="A36" s="15"/>
      <c r="B36" s="16" t="s">
        <v>156</v>
      </c>
      <c r="C36" s="16" t="s">
        <v>64</v>
      </c>
      <c r="D36" s="16" t="s">
        <v>157</v>
      </c>
      <c r="E36" s="16" t="s">
        <v>158</v>
      </c>
      <c r="F36" s="15"/>
    </row>
    <row r="37" spans="1:6" x14ac:dyDescent="0.2">
      <c r="A37" s="15"/>
      <c r="B37" s="16" t="s">
        <v>159</v>
      </c>
      <c r="C37" s="16" t="s">
        <v>23</v>
      </c>
      <c r="D37" s="16" t="s">
        <v>160</v>
      </c>
      <c r="E37" s="16" t="s">
        <v>160</v>
      </c>
      <c r="F37" s="15"/>
    </row>
    <row r="38" spans="1:6" x14ac:dyDescent="0.2">
      <c r="A38" s="15"/>
      <c r="B38" s="16" t="s">
        <v>161</v>
      </c>
      <c r="C38" s="16" t="s">
        <v>24</v>
      </c>
      <c r="D38" s="16" t="s">
        <v>162</v>
      </c>
      <c r="E38" s="16" t="s">
        <v>162</v>
      </c>
      <c r="F38" s="15"/>
    </row>
    <row r="39" spans="1:6" x14ac:dyDescent="0.2">
      <c r="A39" s="15"/>
      <c r="B39" s="16" t="s">
        <v>163</v>
      </c>
      <c r="C39" s="16" t="s">
        <v>25</v>
      </c>
      <c r="D39" s="16" t="s">
        <v>164</v>
      </c>
      <c r="E39" s="16" t="s">
        <v>25</v>
      </c>
      <c r="F39" s="15"/>
    </row>
    <row r="40" spans="1:6" x14ac:dyDescent="0.2">
      <c r="A40" s="15"/>
      <c r="B40" s="16" t="s">
        <v>165</v>
      </c>
      <c r="C40" s="16" t="s">
        <v>26</v>
      </c>
      <c r="D40" s="16" t="s">
        <v>166</v>
      </c>
      <c r="E40" s="16" t="s">
        <v>26</v>
      </c>
      <c r="F40" s="15"/>
    </row>
    <row r="41" spans="1:6" x14ac:dyDescent="0.2">
      <c r="A41" s="15"/>
      <c r="B41" s="16" t="s">
        <v>167</v>
      </c>
      <c r="C41" s="16" t="s">
        <v>67</v>
      </c>
      <c r="D41" s="16" t="s">
        <v>168</v>
      </c>
      <c r="E41" s="16" t="s">
        <v>169</v>
      </c>
      <c r="F41" s="15"/>
    </row>
    <row r="42" spans="1:6" x14ac:dyDescent="0.2">
      <c r="A42" s="15"/>
      <c r="B42" s="16" t="s">
        <v>170</v>
      </c>
      <c r="C42" s="16" t="s">
        <v>27</v>
      </c>
      <c r="D42" s="16" t="s">
        <v>27</v>
      </c>
      <c r="E42" s="16" t="s">
        <v>27</v>
      </c>
      <c r="F42" s="15"/>
    </row>
    <row r="43" spans="1:6" x14ac:dyDescent="0.2">
      <c r="A43" s="15"/>
      <c r="B43" s="16" t="s">
        <v>171</v>
      </c>
      <c r="C43" s="16" t="s">
        <v>28</v>
      </c>
      <c r="D43" s="16" t="s">
        <v>172</v>
      </c>
      <c r="E43" s="16" t="s">
        <v>173</v>
      </c>
      <c r="F43" s="15"/>
    </row>
    <row r="44" spans="1:6" x14ac:dyDescent="0.2">
      <c r="A44" s="15"/>
      <c r="B44" s="16" t="s">
        <v>174</v>
      </c>
      <c r="C44" s="16" t="s">
        <v>29</v>
      </c>
      <c r="D44" s="16" t="s">
        <v>175</v>
      </c>
      <c r="E44" s="16" t="s">
        <v>175</v>
      </c>
      <c r="F44" s="15"/>
    </row>
    <row r="45" spans="1:6" x14ac:dyDescent="0.2">
      <c r="A45" s="15"/>
      <c r="B45" s="15"/>
      <c r="C45" s="15"/>
      <c r="D45" s="15"/>
      <c r="E45" s="15"/>
      <c r="F45" s="15"/>
    </row>
    <row r="46" spans="1:6" ht="38.25" x14ac:dyDescent="0.2">
      <c r="A46" s="17" t="s">
        <v>83</v>
      </c>
      <c r="B46" s="16" t="s">
        <v>176</v>
      </c>
      <c r="C46" s="16" t="s">
        <v>30</v>
      </c>
      <c r="D46" s="16" t="s">
        <v>177</v>
      </c>
      <c r="E46" s="16" t="s">
        <v>178</v>
      </c>
      <c r="F46" s="15"/>
    </row>
    <row r="47" spans="1:6" ht="38.25" x14ac:dyDescent="0.2">
      <c r="A47" s="15"/>
      <c r="B47" s="16" t="s">
        <v>179</v>
      </c>
      <c r="C47" s="16" t="s">
        <v>31</v>
      </c>
      <c r="D47" s="16" t="s">
        <v>180</v>
      </c>
      <c r="E47" s="16" t="s">
        <v>181</v>
      </c>
      <c r="F47" s="15"/>
    </row>
    <row r="48" spans="1:6" ht="51" x14ac:dyDescent="0.2">
      <c r="A48" s="15"/>
      <c r="B48" s="16" t="s">
        <v>182</v>
      </c>
      <c r="C48" s="16" t="s">
        <v>32</v>
      </c>
      <c r="D48" s="16" t="s">
        <v>183</v>
      </c>
      <c r="E48" s="16" t="s">
        <v>184</v>
      </c>
      <c r="F48" s="15"/>
    </row>
    <row r="49" spans="1:6" ht="51" x14ac:dyDescent="0.2">
      <c r="A49" s="15"/>
      <c r="B49" s="16" t="s">
        <v>185</v>
      </c>
      <c r="C49" s="16" t="s">
        <v>33</v>
      </c>
      <c r="D49" s="16" t="s">
        <v>186</v>
      </c>
      <c r="E49" s="16" t="s">
        <v>187</v>
      </c>
      <c r="F49" s="15"/>
    </row>
    <row r="50" spans="1:6" x14ac:dyDescent="0.2">
      <c r="A50" s="15"/>
      <c r="B50" s="15"/>
      <c r="C50" s="15"/>
      <c r="D50" s="15"/>
      <c r="E50" s="15"/>
      <c r="F50" s="15"/>
    </row>
    <row r="51" spans="1:6" x14ac:dyDescent="0.2">
      <c r="A51" s="15"/>
      <c r="B51" s="16" t="s">
        <v>188</v>
      </c>
      <c r="C51" s="16" t="s">
        <v>68</v>
      </c>
      <c r="D51" s="16" t="s">
        <v>189</v>
      </c>
      <c r="E51" s="16" t="s">
        <v>190</v>
      </c>
      <c r="F51" s="15"/>
    </row>
    <row r="52" spans="1:6" x14ac:dyDescent="0.2">
      <c r="A52" s="15" t="s">
        <v>105</v>
      </c>
      <c r="B52" s="19" t="s">
        <v>191</v>
      </c>
      <c r="C52" s="19" t="s">
        <v>310</v>
      </c>
      <c r="D52" s="19" t="s">
        <v>311</v>
      </c>
      <c r="E52" s="19" t="s">
        <v>312</v>
      </c>
      <c r="F52" s="15"/>
    </row>
    <row r="53" spans="1:6" x14ac:dyDescent="0.2">
      <c r="A53" s="15"/>
      <c r="B53" s="15"/>
      <c r="C53" s="15"/>
      <c r="D53" s="15"/>
      <c r="E53" s="15"/>
      <c r="F53" s="15"/>
    </row>
    <row r="54" spans="1:6" x14ac:dyDescent="0.2">
      <c r="A54" s="17"/>
      <c r="B54" s="18"/>
      <c r="C54" s="18"/>
      <c r="D54" s="18"/>
      <c r="E54" s="18"/>
      <c r="F54" s="15"/>
    </row>
    <row r="55" spans="1:6" ht="25.5" x14ac:dyDescent="0.2">
      <c r="A55" s="15" t="s">
        <v>192</v>
      </c>
      <c r="B55" s="16" t="s">
        <v>193</v>
      </c>
      <c r="C55" s="16" t="s">
        <v>275</v>
      </c>
      <c r="D55" s="16" t="s">
        <v>300</v>
      </c>
      <c r="E55" s="16" t="s">
        <v>309</v>
      </c>
      <c r="F55" s="15"/>
    </row>
    <row r="56" spans="1:6" x14ac:dyDescent="0.2">
      <c r="A56" s="17"/>
      <c r="B56" s="18"/>
      <c r="C56" s="18"/>
      <c r="D56" s="18"/>
      <c r="E56" s="18"/>
      <c r="F56" s="15"/>
    </row>
    <row r="57" spans="1:6" x14ac:dyDescent="0.2">
      <c r="A57" s="17" t="s">
        <v>192</v>
      </c>
      <c r="B57" s="16" t="s">
        <v>194</v>
      </c>
      <c r="C57" s="16" t="s">
        <v>0</v>
      </c>
      <c r="D57" s="16" t="s">
        <v>0</v>
      </c>
      <c r="E57" s="16" t="s">
        <v>87</v>
      </c>
      <c r="F57" s="15"/>
    </row>
    <row r="58" spans="1:6" x14ac:dyDescent="0.2">
      <c r="A58" s="15"/>
      <c r="B58" s="16" t="s">
        <v>195</v>
      </c>
      <c r="C58" s="16" t="s">
        <v>34</v>
      </c>
      <c r="D58" s="16" t="s">
        <v>301</v>
      </c>
      <c r="E58" s="16" t="s">
        <v>196</v>
      </c>
      <c r="F58" s="15"/>
    </row>
    <row r="59" spans="1:6" x14ac:dyDescent="0.2">
      <c r="A59" s="15"/>
      <c r="B59" s="16" t="s">
        <v>197</v>
      </c>
      <c r="C59" s="16" t="s">
        <v>37</v>
      </c>
      <c r="D59" s="16" t="s">
        <v>302</v>
      </c>
      <c r="E59" s="16" t="s">
        <v>198</v>
      </c>
      <c r="F59" s="15"/>
    </row>
    <row r="60" spans="1:6" x14ac:dyDescent="0.2">
      <c r="A60" s="15"/>
      <c r="B60" s="16" t="s">
        <v>199</v>
      </c>
      <c r="C60" s="16" t="s">
        <v>41</v>
      </c>
      <c r="D60" s="16" t="s">
        <v>200</v>
      </c>
      <c r="E60" s="16" t="s">
        <v>201</v>
      </c>
      <c r="F60" s="15"/>
    </row>
    <row r="61" spans="1:6" x14ac:dyDescent="0.2">
      <c r="A61" s="15"/>
      <c r="B61" s="16" t="s">
        <v>202</v>
      </c>
      <c r="C61" s="16" t="s">
        <v>44</v>
      </c>
      <c r="D61" s="16" t="s">
        <v>203</v>
      </c>
      <c r="E61" s="16" t="s">
        <v>204</v>
      </c>
      <c r="F61" s="15"/>
    </row>
    <row r="62" spans="1:6" x14ac:dyDescent="0.2">
      <c r="A62" s="15"/>
      <c r="B62" s="16" t="s">
        <v>205</v>
      </c>
      <c r="C62" s="16" t="s">
        <v>63</v>
      </c>
      <c r="D62" s="16" t="s">
        <v>303</v>
      </c>
      <c r="E62" s="16" t="s">
        <v>292</v>
      </c>
      <c r="F62" s="15"/>
    </row>
    <row r="63" spans="1:6" x14ac:dyDescent="0.2">
      <c r="A63" s="15"/>
      <c r="B63" s="16" t="s">
        <v>208</v>
      </c>
      <c r="C63" s="16" t="s">
        <v>53</v>
      </c>
      <c r="D63" s="16" t="s">
        <v>206</v>
      </c>
      <c r="E63" s="16" t="s">
        <v>207</v>
      </c>
      <c r="F63" s="15"/>
    </row>
    <row r="64" spans="1:6" x14ac:dyDescent="0.2">
      <c r="A64" s="17"/>
      <c r="B64" s="18"/>
      <c r="C64" s="18"/>
      <c r="D64" s="18"/>
      <c r="E64" s="18"/>
      <c r="F64" s="15"/>
    </row>
    <row r="65" spans="1:6" x14ac:dyDescent="0.2">
      <c r="A65" s="15"/>
      <c r="B65" s="16" t="s">
        <v>209</v>
      </c>
      <c r="C65" s="16" t="s">
        <v>35</v>
      </c>
      <c r="D65" s="16" t="s">
        <v>210</v>
      </c>
      <c r="E65" s="16" t="s">
        <v>211</v>
      </c>
      <c r="F65" s="15"/>
    </row>
    <row r="66" spans="1:6" x14ac:dyDescent="0.2">
      <c r="A66" s="15"/>
      <c r="B66" s="16" t="s">
        <v>212</v>
      </c>
      <c r="C66" s="16" t="s">
        <v>36</v>
      </c>
      <c r="D66" s="16" t="s">
        <v>213</v>
      </c>
      <c r="E66" s="16" t="s">
        <v>214</v>
      </c>
      <c r="F66" s="15"/>
    </row>
    <row r="67" spans="1:6" x14ac:dyDescent="0.2">
      <c r="A67" s="15"/>
      <c r="B67" s="16" t="s">
        <v>215</v>
      </c>
      <c r="C67" s="16" t="s">
        <v>38</v>
      </c>
      <c r="D67" s="16" t="s">
        <v>38</v>
      </c>
      <c r="E67" s="16" t="s">
        <v>38</v>
      </c>
      <c r="F67" s="15"/>
    </row>
    <row r="68" spans="1:6" x14ac:dyDescent="0.2">
      <c r="A68" s="15"/>
      <c r="B68" s="16" t="s">
        <v>216</v>
      </c>
      <c r="C68" s="16" t="s">
        <v>39</v>
      </c>
      <c r="D68" s="16" t="s">
        <v>39</v>
      </c>
      <c r="E68" s="16" t="s">
        <v>39</v>
      </c>
      <c r="F68" s="15"/>
    </row>
    <row r="69" spans="1:6" x14ac:dyDescent="0.2">
      <c r="A69" s="15"/>
      <c r="B69" s="16" t="s">
        <v>217</v>
      </c>
      <c r="C69" s="16" t="s">
        <v>40</v>
      </c>
      <c r="D69" s="16" t="s">
        <v>218</v>
      </c>
      <c r="E69" s="16" t="s">
        <v>219</v>
      </c>
      <c r="F69" s="15"/>
    </row>
    <row r="70" spans="1:6" x14ac:dyDescent="0.2">
      <c r="A70" s="15"/>
      <c r="B70" s="16" t="s">
        <v>220</v>
      </c>
      <c r="C70" s="16" t="s">
        <v>42</v>
      </c>
      <c r="D70" s="16" t="s">
        <v>221</v>
      </c>
      <c r="E70" s="16" t="s">
        <v>222</v>
      </c>
      <c r="F70" s="15"/>
    </row>
    <row r="71" spans="1:6" x14ac:dyDescent="0.2">
      <c r="A71" s="15"/>
      <c r="B71" s="16" t="s">
        <v>223</v>
      </c>
      <c r="C71" s="16" t="s">
        <v>276</v>
      </c>
      <c r="D71" s="16" t="s">
        <v>304</v>
      </c>
      <c r="E71" s="16" t="s">
        <v>224</v>
      </c>
      <c r="F71" s="15"/>
    </row>
    <row r="72" spans="1:6" x14ac:dyDescent="0.2">
      <c r="A72" s="15"/>
      <c r="B72" s="16" t="s">
        <v>225</v>
      </c>
      <c r="C72" s="16" t="s">
        <v>277</v>
      </c>
      <c r="D72" s="16" t="s">
        <v>305</v>
      </c>
      <c r="E72" s="16" t="s">
        <v>226</v>
      </c>
      <c r="F72" s="15"/>
    </row>
    <row r="73" spans="1:6" x14ac:dyDescent="0.2">
      <c r="A73" s="15"/>
      <c r="B73" s="16" t="s">
        <v>227</v>
      </c>
      <c r="C73" s="16" t="s">
        <v>69</v>
      </c>
      <c r="D73" s="16" t="s">
        <v>308</v>
      </c>
      <c r="E73" s="16" t="s">
        <v>228</v>
      </c>
      <c r="F73" s="15"/>
    </row>
    <row r="74" spans="1:6" x14ac:dyDescent="0.2">
      <c r="A74" s="15"/>
      <c r="B74" s="16" t="s">
        <v>229</v>
      </c>
      <c r="C74" s="16" t="s">
        <v>43</v>
      </c>
      <c r="D74" s="16" t="s">
        <v>230</v>
      </c>
      <c r="E74" s="16" t="s">
        <v>231</v>
      </c>
      <c r="F74" s="15"/>
    </row>
    <row r="75" spans="1:6" x14ac:dyDescent="0.2">
      <c r="A75" s="15"/>
      <c r="B75" s="16" t="s">
        <v>232</v>
      </c>
      <c r="C75" s="16" t="s">
        <v>45</v>
      </c>
      <c r="D75" s="16" t="s">
        <v>233</v>
      </c>
      <c r="E75" s="16" t="s">
        <v>234</v>
      </c>
      <c r="F75" s="15"/>
    </row>
    <row r="76" spans="1:6" x14ac:dyDescent="0.2">
      <c r="A76" s="15"/>
      <c r="B76" s="16" t="s">
        <v>235</v>
      </c>
      <c r="C76" s="16" t="s">
        <v>46</v>
      </c>
      <c r="D76" s="16" t="s">
        <v>236</v>
      </c>
      <c r="E76" s="16" t="s">
        <v>237</v>
      </c>
      <c r="F76" s="15"/>
    </row>
    <row r="77" spans="1:6" x14ac:dyDescent="0.2">
      <c r="A77" s="15"/>
      <c r="B77" s="16" t="s">
        <v>238</v>
      </c>
      <c r="C77" s="16" t="s">
        <v>47</v>
      </c>
      <c r="D77" s="16" t="s">
        <v>239</v>
      </c>
      <c r="E77" s="16" t="s">
        <v>240</v>
      </c>
      <c r="F77" s="15"/>
    </row>
    <row r="78" spans="1:6" ht="25.5" x14ac:dyDescent="0.2">
      <c r="A78" s="15"/>
      <c r="B78" s="16" t="s">
        <v>241</v>
      </c>
      <c r="C78" s="16" t="s">
        <v>48</v>
      </c>
      <c r="D78" s="16" t="s">
        <v>242</v>
      </c>
      <c r="E78" s="16" t="s">
        <v>243</v>
      </c>
      <c r="F78" s="15"/>
    </row>
    <row r="79" spans="1:6" x14ac:dyDescent="0.2">
      <c r="A79" s="15"/>
      <c r="B79" s="16" t="s">
        <v>244</v>
      </c>
      <c r="C79" s="16" t="s">
        <v>49</v>
      </c>
      <c r="D79" s="16" t="s">
        <v>245</v>
      </c>
      <c r="E79" s="16" t="s">
        <v>246</v>
      </c>
      <c r="F79" s="15"/>
    </row>
    <row r="80" spans="1:6" x14ac:dyDescent="0.2">
      <c r="A80" s="15"/>
      <c r="B80" s="16" t="s">
        <v>247</v>
      </c>
      <c r="C80" s="16" t="s">
        <v>50</v>
      </c>
      <c r="D80" s="16" t="s">
        <v>90</v>
      </c>
      <c r="E80" s="16" t="s">
        <v>91</v>
      </c>
      <c r="F80" s="15"/>
    </row>
    <row r="81" spans="1:6" x14ac:dyDescent="0.2">
      <c r="A81" s="15"/>
      <c r="B81" s="16" t="s">
        <v>250</v>
      </c>
      <c r="C81" s="16" t="s">
        <v>51</v>
      </c>
      <c r="D81" s="16" t="s">
        <v>95</v>
      </c>
      <c r="E81" s="16" t="s">
        <v>96</v>
      </c>
      <c r="F81" s="15"/>
    </row>
    <row r="82" spans="1:6" x14ac:dyDescent="0.2">
      <c r="A82" s="15"/>
      <c r="B82" s="16" t="s">
        <v>253</v>
      </c>
      <c r="C82" s="16" t="s">
        <v>52</v>
      </c>
      <c r="D82" s="16" t="s">
        <v>95</v>
      </c>
      <c r="E82" s="16" t="s">
        <v>97</v>
      </c>
      <c r="F82" s="15"/>
    </row>
    <row r="83" spans="1:6" x14ac:dyDescent="0.2">
      <c r="A83" s="15"/>
      <c r="B83" s="16" t="s">
        <v>270</v>
      </c>
      <c r="C83" s="16" t="s">
        <v>54</v>
      </c>
      <c r="D83" s="16" t="s">
        <v>248</v>
      </c>
      <c r="E83" s="16" t="s">
        <v>249</v>
      </c>
      <c r="F83" s="15"/>
    </row>
    <row r="84" spans="1:6" x14ac:dyDescent="0.2">
      <c r="A84" s="15"/>
      <c r="B84" s="16" t="s">
        <v>272</v>
      </c>
      <c r="C84" s="16" t="s">
        <v>55</v>
      </c>
      <c r="D84" s="16" t="s">
        <v>251</v>
      </c>
      <c r="E84" s="16" t="s">
        <v>252</v>
      </c>
      <c r="F84" s="15"/>
    </row>
    <row r="85" spans="1:6" x14ac:dyDescent="0.2">
      <c r="A85" s="15"/>
      <c r="B85" s="16" t="s">
        <v>273</v>
      </c>
      <c r="C85" s="16" t="s">
        <v>56</v>
      </c>
      <c r="D85" s="16" t="s">
        <v>254</v>
      </c>
      <c r="E85" s="16" t="s">
        <v>255</v>
      </c>
      <c r="F85" s="15"/>
    </row>
    <row r="86" spans="1:6" x14ac:dyDescent="0.2">
      <c r="A86" s="15"/>
      <c r="B86" s="16" t="s">
        <v>278</v>
      </c>
      <c r="C86" s="16" t="s">
        <v>57</v>
      </c>
      <c r="D86" s="16" t="s">
        <v>256</v>
      </c>
      <c r="E86" s="16" t="s">
        <v>257</v>
      </c>
      <c r="F86" s="15"/>
    </row>
    <row r="87" spans="1:6" x14ac:dyDescent="0.2">
      <c r="A87" s="15"/>
      <c r="B87" s="16" t="s">
        <v>279</v>
      </c>
      <c r="C87" s="16" t="s">
        <v>58</v>
      </c>
      <c r="D87" s="16" t="s">
        <v>258</v>
      </c>
      <c r="E87" s="16" t="s">
        <v>259</v>
      </c>
      <c r="F87" s="15"/>
    </row>
    <row r="88" spans="1:6" x14ac:dyDescent="0.2">
      <c r="A88" s="15"/>
      <c r="B88" s="16" t="s">
        <v>280</v>
      </c>
      <c r="C88" s="16" t="s">
        <v>59</v>
      </c>
      <c r="D88" s="16" t="s">
        <v>260</v>
      </c>
      <c r="E88" s="16" t="s">
        <v>261</v>
      </c>
      <c r="F88" s="15"/>
    </row>
    <row r="89" spans="1:6" x14ac:dyDescent="0.2">
      <c r="A89" s="15"/>
      <c r="B89" s="16" t="s">
        <v>281</v>
      </c>
      <c r="C89" s="16" t="s">
        <v>60</v>
      </c>
      <c r="D89" s="16" t="s">
        <v>262</v>
      </c>
      <c r="E89" s="16" t="s">
        <v>263</v>
      </c>
      <c r="F89" s="15"/>
    </row>
    <row r="90" spans="1:6" x14ac:dyDescent="0.2">
      <c r="A90" s="15"/>
      <c r="B90" s="16" t="s">
        <v>282</v>
      </c>
      <c r="C90" s="16" t="s">
        <v>70</v>
      </c>
      <c r="D90" s="16" t="s">
        <v>306</v>
      </c>
      <c r="E90" s="16" t="s">
        <v>264</v>
      </c>
      <c r="F90" s="15"/>
    </row>
    <row r="91" spans="1:6" ht="25.5" x14ac:dyDescent="0.2">
      <c r="A91" s="15"/>
      <c r="B91" s="16" t="s">
        <v>283</v>
      </c>
      <c r="C91" s="16" t="s">
        <v>61</v>
      </c>
      <c r="D91" s="16" t="s">
        <v>265</v>
      </c>
      <c r="E91" s="16" t="s">
        <v>266</v>
      </c>
      <c r="F91" s="15"/>
    </row>
    <row r="92" spans="1:6" ht="38.25" x14ac:dyDescent="0.2">
      <c r="A92" s="15"/>
      <c r="B92" s="16" t="s">
        <v>284</v>
      </c>
      <c r="C92" s="16" t="s">
        <v>71</v>
      </c>
      <c r="D92" s="16" t="s">
        <v>307</v>
      </c>
      <c r="E92" s="16" t="s">
        <v>267</v>
      </c>
      <c r="F92" s="15"/>
    </row>
    <row r="93" spans="1:6" ht="25.5" x14ac:dyDescent="0.2">
      <c r="A93" s="15"/>
      <c r="B93" s="16" t="s">
        <v>285</v>
      </c>
      <c r="C93" s="16" t="s">
        <v>62</v>
      </c>
      <c r="D93" s="16" t="s">
        <v>268</v>
      </c>
      <c r="E93" s="16" t="s">
        <v>269</v>
      </c>
      <c r="F93" s="15"/>
    </row>
    <row r="94" spans="1:6" x14ac:dyDescent="0.2">
      <c r="A94" s="28"/>
      <c r="B94" s="28"/>
      <c r="C94" s="28"/>
      <c r="D94" s="28"/>
      <c r="E94" s="28"/>
      <c r="F94" s="28"/>
    </row>
    <row r="95" spans="1:6" x14ac:dyDescent="0.2">
      <c r="A95" s="28"/>
      <c r="B95" s="28"/>
      <c r="C95" s="28"/>
      <c r="D95" s="28"/>
      <c r="E95" s="28"/>
      <c r="F95" s="28"/>
    </row>
    <row r="96" spans="1:6" x14ac:dyDescent="0.2">
      <c r="A96" s="29"/>
      <c r="B96" s="29"/>
      <c r="C96" s="29"/>
      <c r="D96" s="29"/>
      <c r="E96" s="29"/>
      <c r="F96" s="2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3F42C86C3B544A091947C70CD57DC" ma:contentTypeVersion="6" ma:contentTypeDescription="Ein neues Dokument erstellen." ma:contentTypeScope="" ma:versionID="558fd0407b328572d1a10c4cab466487">
  <xsd:schema xmlns:xsd="http://www.w3.org/2001/XMLSchema" xmlns:xs="http://www.w3.org/2001/XMLSchema" xmlns:p="http://schemas.microsoft.com/office/2006/metadata/properties" xmlns:ns1="http://schemas.microsoft.com/sharepoint/v3" xmlns:ns2="b96e8123-d0de-41b8-8f0e-5f199e705244" targetNamespace="http://schemas.microsoft.com/office/2006/metadata/properties" ma:root="true" ma:fieldsID="3eed3cccc78757909b7e367c3f1bbb98" ns1:_="" ns2:_="">
    <xsd:import namespace="http://schemas.microsoft.com/sharepoint/v3"/>
    <xsd:import namespace="b96e8123-d0de-41b8-8f0e-5f199e7052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e8123-d0de-41b8-8f0e-5f199e705244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el_RM xmlns="b96e8123-d0de-41b8-8f0e-5f199e705244">Enquista da structura davart la populaziun permanenta tenor la scolaziun la pli auta terminada, 2024</Titel_RM>
    <Titel_DE xmlns="b96e8123-d0de-41b8-8f0e-5f199e705244">Strukturerhebung Ständige Wohnbevölkerung nach höchster abgeschlossener Ausbildung, 2024</Titel_DE>
    <Titel_IT xmlns="b96e8123-d0de-41b8-8f0e-5f199e705244">Rilevazione strutturale della popolazione residente permanente per formazione più elevata conclusa, 2024</Titel_IT>
    <Kategorie xmlns="b96e8123-d0de-41b8-8f0e-5f199e705244">15 Bildung, Wissenschaft</Kategorie>
    <PublishingExpirationDate xmlns="http://schemas.microsoft.com/sharepoint/v3" xsi:nil="true"/>
    <PublishingStartDate xmlns="http://schemas.microsoft.com/sharepoint/v3" xsi:nil="true"/>
    <Benutzerdefinierte_x0020_ID xmlns="b96e8123-d0de-41b8-8f0e-5f199e705244">1002</Benutzerdefinierte_x0020_ID>
  </documentManagement>
</p:properties>
</file>

<file path=customXml/itemProps1.xml><?xml version="1.0" encoding="utf-8"?>
<ds:datastoreItem xmlns:ds="http://schemas.openxmlformats.org/officeDocument/2006/customXml" ds:itemID="{A09B0133-D091-431F-82FA-B5B49FA4317A}"/>
</file>

<file path=customXml/itemProps2.xml><?xml version="1.0" encoding="utf-8"?>
<ds:datastoreItem xmlns:ds="http://schemas.openxmlformats.org/officeDocument/2006/customXml" ds:itemID="{3547561C-AAA2-48CF-B863-FF2393047E66}"/>
</file>

<file path=customXml/itemProps3.xml><?xml version="1.0" encoding="utf-8"?>
<ds:datastoreItem xmlns:ds="http://schemas.openxmlformats.org/officeDocument/2006/customXml" ds:itemID="{FF6B4828-9653-49EF-A905-41B0DF01E7A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Schweiz</vt:lpstr>
      <vt:lpstr>Graubünden</vt:lpstr>
      <vt:lpstr>Uebersetzungen</vt:lpstr>
      <vt:lpstr>Schweiz!Druckbereich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höchster agbeschlossener Ausbildung</dc:title>
  <dc:creator>Luzius.Stricker@awt.gr.ch</dc:creator>
  <cp:lastModifiedBy>Monstein Urs (AWT GR)</cp:lastModifiedBy>
  <cp:lastPrinted>2017-12-12T11:30:27Z</cp:lastPrinted>
  <dcterms:created xsi:type="dcterms:W3CDTF">2012-06-17T15:40:31Z</dcterms:created>
  <dcterms:modified xsi:type="dcterms:W3CDTF">2026-01-27T08:06:20Z</dcterms:modified>
  <cp:category>Strukturerhebung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2026-01-20T08:03:13Z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4f94f95a-13ae-4ecd-93fb-0e37aebb9bb9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0x010100BB33F42C86C3B544A091947C70CD57DC</vt:lpwstr>
  </property>
</Properties>
</file>